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ate1904="1" codeName="ThisWorkbook" autoCompressPictures="0"/>
  <mc:AlternateContent xmlns:mc="http://schemas.openxmlformats.org/markup-compatibility/2006">
    <mc:Choice Requires="x15">
      <x15ac:absPath xmlns:x15ac="http://schemas.microsoft.com/office/spreadsheetml/2010/11/ac" url="/Users/oliver/Desktop/"/>
    </mc:Choice>
  </mc:AlternateContent>
  <xr:revisionPtr revIDLastSave="0" documentId="13_ncr:1_{1B37FDA8-224B-994A-9124-CBB441AB583C}" xr6:coauthVersionLast="47" xr6:coauthVersionMax="47" xr10:uidLastSave="{00000000-0000-0000-0000-000000000000}"/>
  <bookViews>
    <workbookView xWindow="13960" yWindow="1820" windowWidth="18960" windowHeight="18240" tabRatio="500" xr2:uid="{00000000-000D-0000-FFFF-FFFF00000000}"/>
  </bookViews>
  <sheets>
    <sheet name="CNC" sheetId="1" r:id="rId1"/>
    <sheet name="INFO" sheetId="2" r:id="rId2"/>
    <sheet name="TOOLS" sheetId="3" r:id="rId3"/>
  </sheets>
  <definedNames>
    <definedName name="_xlnm.Print_Area" localSheetId="0">CNC!$A$1:$G$35</definedName>
    <definedName name="_xlnm.Print_Area" localSheetId="1">INFO!$A$2:$C$29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2" l="1"/>
  <c r="B16" i="2"/>
  <c r="AV70" i="1"/>
  <c r="N245" i="3"/>
  <c r="R245" i="3" s="1"/>
  <c r="O245" i="3"/>
  <c r="N246" i="3"/>
  <c r="O246" i="3"/>
  <c r="N247" i="3"/>
  <c r="R247" i="3" s="1"/>
  <c r="O247" i="3"/>
  <c r="N248" i="3"/>
  <c r="O248" i="3"/>
  <c r="N2" i="3"/>
  <c r="R2" i="3" s="1"/>
  <c r="N3" i="3"/>
  <c r="R3" i="3" s="1"/>
  <c r="N4" i="3"/>
  <c r="R4" i="3" s="1"/>
  <c r="N5" i="3"/>
  <c r="O5" i="3"/>
  <c r="N6" i="3"/>
  <c r="R6" i="3"/>
  <c r="N7" i="3"/>
  <c r="R7" i="3" s="1"/>
  <c r="N8" i="3"/>
  <c r="R8" i="3"/>
  <c r="N9" i="3"/>
  <c r="R9" i="3" s="1"/>
  <c r="N10" i="3"/>
  <c r="R10" i="3" s="1"/>
  <c r="N11" i="3"/>
  <c r="R11" i="3" s="1"/>
  <c r="N12" i="3"/>
  <c r="R12" i="3" s="1"/>
  <c r="N13" i="3"/>
  <c r="R13" i="3" s="1"/>
  <c r="N14" i="3"/>
  <c r="R14" i="3"/>
  <c r="N15" i="3"/>
  <c r="R15" i="3"/>
  <c r="N16" i="3"/>
  <c r="R16" i="3" s="1"/>
  <c r="N17" i="3"/>
  <c r="R17" i="3" s="1"/>
  <c r="N18" i="3"/>
  <c r="R18" i="3" s="1"/>
  <c r="N19" i="3"/>
  <c r="R19" i="3" s="1"/>
  <c r="N20" i="3"/>
  <c r="R20" i="3" s="1"/>
  <c r="N21" i="3"/>
  <c r="R21" i="3" s="1"/>
  <c r="N22" i="3"/>
  <c r="R22" i="3" s="1"/>
  <c r="N23" i="3"/>
  <c r="R23" i="3"/>
  <c r="N24" i="3"/>
  <c r="R24" i="3" s="1"/>
  <c r="N25" i="3"/>
  <c r="R25" i="3" s="1"/>
  <c r="N26" i="3"/>
  <c r="R26" i="3" s="1"/>
  <c r="N27" i="3"/>
  <c r="R27" i="3" s="1"/>
  <c r="N28" i="3"/>
  <c r="R28" i="3" s="1"/>
  <c r="O28" i="3"/>
  <c r="N29" i="3"/>
  <c r="R29" i="3" s="1"/>
  <c r="O29" i="3"/>
  <c r="N30" i="3"/>
  <c r="O30" i="3"/>
  <c r="N31" i="3"/>
  <c r="R31" i="3" s="1"/>
  <c r="N32" i="3"/>
  <c r="R32" i="3" s="1"/>
  <c r="N33" i="3"/>
  <c r="R33" i="3" s="1"/>
  <c r="N34" i="3"/>
  <c r="R34" i="3" s="1"/>
  <c r="N35" i="3"/>
  <c r="R35" i="3" s="1"/>
  <c r="N36" i="3"/>
  <c r="R36" i="3" s="1"/>
  <c r="O36" i="3"/>
  <c r="N37" i="3"/>
  <c r="O37" i="3"/>
  <c r="N38" i="3"/>
  <c r="O38" i="3"/>
  <c r="N39" i="3"/>
  <c r="O39" i="3"/>
  <c r="N40" i="3"/>
  <c r="O40" i="3"/>
  <c r="R40" i="3"/>
  <c r="N41" i="3"/>
  <c r="R41" i="3"/>
  <c r="N42" i="3"/>
  <c r="R42" i="3" s="1"/>
  <c r="N43" i="3"/>
  <c r="R43" i="3" s="1"/>
  <c r="N44" i="3"/>
  <c r="R44" i="3"/>
  <c r="N45" i="3"/>
  <c r="R45" i="3"/>
  <c r="N46" i="3"/>
  <c r="R46" i="3" s="1"/>
  <c r="N47" i="3"/>
  <c r="R47" i="3" s="1"/>
  <c r="N48" i="3"/>
  <c r="R48" i="3"/>
  <c r="N49" i="3"/>
  <c r="R49" i="3"/>
  <c r="N50" i="3"/>
  <c r="R50" i="3" s="1"/>
  <c r="N51" i="3"/>
  <c r="R51" i="3" s="1"/>
  <c r="N52" i="3"/>
  <c r="R52" i="3"/>
  <c r="N53" i="3"/>
  <c r="R53" i="3"/>
  <c r="N54" i="3"/>
  <c r="R54" i="3" s="1"/>
  <c r="N55" i="3"/>
  <c r="R55" i="3" s="1"/>
  <c r="N56" i="3"/>
  <c r="R56" i="3"/>
  <c r="N57" i="3"/>
  <c r="O57" i="3"/>
  <c r="P57" i="3"/>
  <c r="Q57" i="3"/>
  <c r="N58" i="3"/>
  <c r="R58" i="3" s="1"/>
  <c r="O58" i="3"/>
  <c r="N59" i="3"/>
  <c r="O59" i="3"/>
  <c r="N60" i="3"/>
  <c r="O60" i="3"/>
  <c r="P60" i="3"/>
  <c r="Q60" i="3"/>
  <c r="N61" i="3"/>
  <c r="R61" i="3" s="1"/>
  <c r="O61" i="3"/>
  <c r="N62" i="3"/>
  <c r="O62" i="3"/>
  <c r="N63" i="3"/>
  <c r="O63" i="3"/>
  <c r="N64" i="3"/>
  <c r="R64" i="3" s="1"/>
  <c r="O64" i="3"/>
  <c r="N65" i="3"/>
  <c r="O65" i="3"/>
  <c r="R65" i="3" s="1"/>
  <c r="N66" i="3"/>
  <c r="O66" i="3"/>
  <c r="N67" i="3"/>
  <c r="O67" i="3"/>
  <c r="N68" i="3"/>
  <c r="O68" i="3"/>
  <c r="N69" i="3"/>
  <c r="O69" i="3"/>
  <c r="R69" i="3" s="1"/>
  <c r="N70" i="3"/>
  <c r="O70" i="3"/>
  <c r="N71" i="3"/>
  <c r="O71" i="3"/>
  <c r="N72" i="3"/>
  <c r="R72" i="3" s="1"/>
  <c r="O72" i="3"/>
  <c r="N73" i="3"/>
  <c r="O73" i="3"/>
  <c r="N74" i="3"/>
  <c r="O74" i="3"/>
  <c r="N75" i="3"/>
  <c r="R75" i="3" s="1"/>
  <c r="O75" i="3"/>
  <c r="N76" i="3"/>
  <c r="R76" i="3" s="1"/>
  <c r="O76" i="3"/>
  <c r="N77" i="3"/>
  <c r="O77" i="3"/>
  <c r="N78" i="3"/>
  <c r="R78" i="3" s="1"/>
  <c r="O78" i="3"/>
  <c r="N79" i="3"/>
  <c r="O79" i="3"/>
  <c r="N80" i="3"/>
  <c r="O80" i="3"/>
  <c r="R80" i="3"/>
  <c r="N81" i="3"/>
  <c r="O81" i="3"/>
  <c r="R81" i="3" s="1"/>
  <c r="N82" i="3"/>
  <c r="R82" i="3" s="1"/>
  <c r="O82" i="3"/>
  <c r="N83" i="3"/>
  <c r="O83" i="3"/>
  <c r="N84" i="3"/>
  <c r="O84" i="3"/>
  <c r="N85" i="3"/>
  <c r="O85" i="3"/>
  <c r="R85" i="3" s="1"/>
  <c r="N86" i="3"/>
  <c r="R86" i="3" s="1"/>
  <c r="O86" i="3"/>
  <c r="N87" i="3"/>
  <c r="R87" i="3" s="1"/>
  <c r="O87" i="3"/>
  <c r="N88" i="3"/>
  <c r="O88" i="3"/>
  <c r="R88" i="3"/>
  <c r="N89" i="3"/>
  <c r="R89" i="3" s="1"/>
  <c r="O89" i="3"/>
  <c r="N90" i="3"/>
  <c r="O90" i="3"/>
  <c r="N91" i="3"/>
  <c r="R91" i="3" s="1"/>
  <c r="O91" i="3"/>
  <c r="N92" i="3"/>
  <c r="O92" i="3"/>
  <c r="R92" i="3"/>
  <c r="N93" i="3"/>
  <c r="R93" i="3" s="1"/>
  <c r="O93" i="3"/>
  <c r="N94" i="3"/>
  <c r="R94" i="3" s="1"/>
  <c r="O94" i="3"/>
  <c r="N95" i="3"/>
  <c r="O95" i="3"/>
  <c r="N96" i="3"/>
  <c r="O96" i="3"/>
  <c r="R96" i="3" s="1"/>
  <c r="N97" i="3"/>
  <c r="O97" i="3"/>
  <c r="R97" i="3" s="1"/>
  <c r="N98" i="3"/>
  <c r="R98" i="3" s="1"/>
  <c r="O98" i="3"/>
  <c r="N99" i="3"/>
  <c r="O99" i="3"/>
  <c r="N100" i="3"/>
  <c r="R100" i="3" s="1"/>
  <c r="O100" i="3"/>
  <c r="N101" i="3"/>
  <c r="O101" i="3"/>
  <c r="R101" i="3" s="1"/>
  <c r="N102" i="3"/>
  <c r="R102" i="3" s="1"/>
  <c r="O102" i="3"/>
  <c r="N103" i="3"/>
  <c r="O103" i="3"/>
  <c r="N104" i="3"/>
  <c r="R104" i="3" s="1"/>
  <c r="O104" i="3"/>
  <c r="N105" i="3"/>
  <c r="R105" i="3" s="1"/>
  <c r="O105" i="3"/>
  <c r="N106" i="3"/>
  <c r="O106" i="3"/>
  <c r="N107" i="3"/>
  <c r="O107" i="3"/>
  <c r="N108" i="3"/>
  <c r="R108" i="3" s="1"/>
  <c r="O108" i="3"/>
  <c r="N109" i="3"/>
  <c r="O109" i="3"/>
  <c r="N110" i="3"/>
  <c r="O110" i="3"/>
  <c r="N111" i="3"/>
  <c r="R111" i="3" s="1"/>
  <c r="O111" i="3"/>
  <c r="N112" i="3"/>
  <c r="R112" i="3" s="1"/>
  <c r="O112" i="3"/>
  <c r="N113" i="3"/>
  <c r="O113" i="3"/>
  <c r="R113" i="3" s="1"/>
  <c r="N114" i="3"/>
  <c r="O114" i="3"/>
  <c r="N115" i="3"/>
  <c r="O115" i="3"/>
  <c r="N116" i="3"/>
  <c r="R116" i="3" s="1"/>
  <c r="O116" i="3"/>
  <c r="N117" i="3"/>
  <c r="O117" i="3"/>
  <c r="R117" i="3" s="1"/>
  <c r="N118" i="3"/>
  <c r="O118" i="3"/>
  <c r="N119" i="3"/>
  <c r="R119" i="3" s="1"/>
  <c r="O119" i="3"/>
  <c r="N120" i="3"/>
  <c r="R120" i="3" s="1"/>
  <c r="O120" i="3"/>
  <c r="N121" i="3"/>
  <c r="O121" i="3"/>
  <c r="N122" i="3"/>
  <c r="R122" i="3" s="1"/>
  <c r="O122" i="3"/>
  <c r="N123" i="3"/>
  <c r="O123" i="3"/>
  <c r="N124" i="3"/>
  <c r="O124" i="3"/>
  <c r="R124" i="3"/>
  <c r="N125" i="3"/>
  <c r="O125" i="3"/>
  <c r="N126" i="3"/>
  <c r="R126" i="3" s="1"/>
  <c r="O126" i="3"/>
  <c r="N127" i="3"/>
  <c r="R127" i="3" s="1"/>
  <c r="O127" i="3"/>
  <c r="N128" i="3"/>
  <c r="O128" i="3"/>
  <c r="R128" i="3"/>
  <c r="N129" i="3"/>
  <c r="O129" i="3"/>
  <c r="N130" i="3"/>
  <c r="O130" i="3"/>
  <c r="N131" i="3"/>
  <c r="R131" i="3" s="1"/>
  <c r="O131" i="3"/>
  <c r="N132" i="3"/>
  <c r="O132" i="3"/>
  <c r="N133" i="3"/>
  <c r="O133" i="3"/>
  <c r="R133" i="3" s="1"/>
  <c r="N134" i="3"/>
  <c r="O134" i="3"/>
  <c r="N135" i="3"/>
  <c r="R135" i="3" s="1"/>
  <c r="O135" i="3"/>
  <c r="N136" i="3"/>
  <c r="O136" i="3"/>
  <c r="R136" i="3"/>
  <c r="N137" i="3"/>
  <c r="R137" i="3" s="1"/>
  <c r="O137" i="3"/>
  <c r="N138" i="3"/>
  <c r="R138" i="3" s="1"/>
  <c r="O138" i="3"/>
  <c r="N139" i="3"/>
  <c r="O139" i="3"/>
  <c r="N140" i="3"/>
  <c r="O140" i="3"/>
  <c r="R140" i="3"/>
  <c r="N141" i="3"/>
  <c r="O141" i="3"/>
  <c r="N142" i="3"/>
  <c r="R142" i="3" s="1"/>
  <c r="O142" i="3"/>
  <c r="N143" i="3"/>
  <c r="O143" i="3"/>
  <c r="N144" i="3"/>
  <c r="R144" i="3" s="1"/>
  <c r="O144" i="3"/>
  <c r="N145" i="3"/>
  <c r="O145" i="3"/>
  <c r="N146" i="3"/>
  <c r="O146" i="3"/>
  <c r="N147" i="3"/>
  <c r="O147" i="3"/>
  <c r="N148" i="3"/>
  <c r="R148" i="3" s="1"/>
  <c r="O148" i="3"/>
  <c r="N149" i="3"/>
  <c r="O149" i="3"/>
  <c r="N150" i="3"/>
  <c r="O150" i="3"/>
  <c r="N151" i="3"/>
  <c r="O151" i="3"/>
  <c r="N152" i="3"/>
  <c r="R152" i="3" s="1"/>
  <c r="O152" i="3"/>
  <c r="N153" i="3"/>
  <c r="R153" i="3" s="1"/>
  <c r="O153" i="3"/>
  <c r="N154" i="3"/>
  <c r="O154" i="3"/>
  <c r="N155" i="3"/>
  <c r="O155" i="3"/>
  <c r="N156" i="3"/>
  <c r="R156" i="3" s="1"/>
  <c r="O156" i="3"/>
  <c r="N157" i="3"/>
  <c r="O157" i="3"/>
  <c r="N158" i="3"/>
  <c r="O158" i="3"/>
  <c r="N159" i="3"/>
  <c r="R159" i="3" s="1"/>
  <c r="O159" i="3"/>
  <c r="N160" i="3"/>
  <c r="R160" i="3" s="1"/>
  <c r="O160" i="3"/>
  <c r="N161" i="3"/>
  <c r="O161" i="3"/>
  <c r="R161" i="3" s="1"/>
  <c r="N162" i="3"/>
  <c r="O162" i="3"/>
  <c r="N163" i="3"/>
  <c r="O163" i="3"/>
  <c r="N164" i="3"/>
  <c r="R164" i="3" s="1"/>
  <c r="O164" i="3"/>
  <c r="N165" i="3"/>
  <c r="O165" i="3"/>
  <c r="R165" i="3" s="1"/>
  <c r="N166" i="3"/>
  <c r="R166" i="3" s="1"/>
  <c r="O166" i="3"/>
  <c r="N167" i="3"/>
  <c r="R167" i="3" s="1"/>
  <c r="O167" i="3"/>
  <c r="N168" i="3"/>
  <c r="O168" i="3"/>
  <c r="R168" i="3"/>
  <c r="N169" i="3"/>
  <c r="O169" i="3"/>
  <c r="N170" i="3"/>
  <c r="R170" i="3" s="1"/>
  <c r="O170" i="3"/>
  <c r="N171" i="3"/>
  <c r="R171" i="3" s="1"/>
  <c r="O171" i="3"/>
  <c r="N172" i="3"/>
  <c r="O172" i="3"/>
  <c r="R172" i="3"/>
  <c r="N173" i="3"/>
  <c r="R173" i="3" s="1"/>
  <c r="O173" i="3"/>
  <c r="N174" i="3"/>
  <c r="R174" i="3" s="1"/>
  <c r="O174" i="3"/>
  <c r="N175" i="3"/>
  <c r="R175" i="3" s="1"/>
  <c r="O175" i="3"/>
  <c r="N176" i="3"/>
  <c r="O176" i="3"/>
  <c r="R176" i="3"/>
  <c r="N177" i="3"/>
  <c r="O177" i="3"/>
  <c r="N178" i="3"/>
  <c r="R178" i="3" s="1"/>
  <c r="O178" i="3"/>
  <c r="N179" i="3"/>
  <c r="O179" i="3"/>
  <c r="N180" i="3"/>
  <c r="O180" i="3"/>
  <c r="N181" i="3"/>
  <c r="O181" i="3"/>
  <c r="N182" i="3"/>
  <c r="R182" i="3" s="1"/>
  <c r="O182" i="3"/>
  <c r="N183" i="3"/>
  <c r="O183" i="3"/>
  <c r="N184" i="3"/>
  <c r="O184" i="3"/>
  <c r="R184" i="3" s="1"/>
  <c r="N185" i="3"/>
  <c r="R185" i="3" s="1"/>
  <c r="O185" i="3"/>
  <c r="N186" i="3"/>
  <c r="O186" i="3"/>
  <c r="N187" i="3"/>
  <c r="O187" i="3"/>
  <c r="N188" i="3"/>
  <c r="R188" i="3" s="1"/>
  <c r="O188" i="3"/>
  <c r="N189" i="3"/>
  <c r="R189" i="3" s="1"/>
  <c r="O189" i="3"/>
  <c r="N190" i="3"/>
  <c r="O190" i="3"/>
  <c r="N191" i="3"/>
  <c r="O191" i="3"/>
  <c r="N192" i="3"/>
  <c r="R192" i="3" s="1"/>
  <c r="O192" i="3"/>
  <c r="N193" i="3"/>
  <c r="O193" i="3"/>
  <c r="R193" i="3" s="1"/>
  <c r="N194" i="3"/>
  <c r="O194" i="3"/>
  <c r="N195" i="3"/>
  <c r="R195" i="3" s="1"/>
  <c r="O195" i="3"/>
  <c r="N196" i="3"/>
  <c r="R196" i="3" s="1"/>
  <c r="O196" i="3"/>
  <c r="N197" i="3"/>
  <c r="O197" i="3"/>
  <c r="R197" i="3" s="1"/>
  <c r="N198" i="3"/>
  <c r="O198" i="3"/>
  <c r="N199" i="3"/>
  <c r="R199" i="3" s="1"/>
  <c r="O199" i="3"/>
  <c r="N200" i="3"/>
  <c r="R200" i="3" s="1"/>
  <c r="O200" i="3"/>
  <c r="N201" i="3"/>
  <c r="O201" i="3"/>
  <c r="N202" i="3"/>
  <c r="O202" i="3"/>
  <c r="N203" i="3"/>
  <c r="R203" i="3" s="1"/>
  <c r="O203" i="3"/>
  <c r="N204" i="3"/>
  <c r="R204" i="3" s="1"/>
  <c r="O204" i="3"/>
  <c r="N205" i="3"/>
  <c r="O205" i="3"/>
  <c r="N206" i="3"/>
  <c r="R206" i="3" s="1"/>
  <c r="N207" i="3"/>
  <c r="R207" i="3" s="1"/>
  <c r="N208" i="3"/>
  <c r="R208" i="3" s="1"/>
  <c r="N209" i="3"/>
  <c r="R209" i="3" s="1"/>
  <c r="N210" i="3"/>
  <c r="R210" i="3" s="1"/>
  <c r="N211" i="3"/>
  <c r="R211" i="3"/>
  <c r="N212" i="3"/>
  <c r="R212" i="3" s="1"/>
  <c r="O212" i="3"/>
  <c r="P212" i="3"/>
  <c r="Q212" i="3"/>
  <c r="N213" i="3"/>
  <c r="O213" i="3"/>
  <c r="P213" i="3"/>
  <c r="Q213" i="3"/>
  <c r="N214" i="3"/>
  <c r="R214" i="3" s="1"/>
  <c r="O214" i="3"/>
  <c r="N215" i="3"/>
  <c r="R215" i="3" s="1"/>
  <c r="O215" i="3"/>
  <c r="N216" i="3"/>
  <c r="O216" i="3"/>
  <c r="N217" i="3"/>
  <c r="O217" i="3"/>
  <c r="N218" i="3"/>
  <c r="R218" i="3" s="1"/>
  <c r="O218" i="3"/>
  <c r="N219" i="3"/>
  <c r="O219" i="3"/>
  <c r="R219" i="3" s="1"/>
  <c r="N220" i="3"/>
  <c r="O220" i="3"/>
  <c r="N221" i="3"/>
  <c r="R221" i="3" s="1"/>
  <c r="O221" i="3"/>
  <c r="N222" i="3"/>
  <c r="R222" i="3" s="1"/>
  <c r="O222" i="3"/>
  <c r="N223" i="3"/>
  <c r="O223" i="3"/>
  <c r="R223" i="3" s="1"/>
  <c r="N224" i="3"/>
  <c r="O224" i="3"/>
  <c r="N225" i="3"/>
  <c r="O225" i="3"/>
  <c r="N226" i="3"/>
  <c r="R226" i="3" s="1"/>
  <c r="O226" i="3"/>
  <c r="N227" i="3"/>
  <c r="O227" i="3"/>
  <c r="N228" i="3"/>
  <c r="O228" i="3"/>
  <c r="N229" i="3"/>
  <c r="R229" i="3" s="1"/>
  <c r="O229" i="3"/>
  <c r="N230" i="3"/>
  <c r="R230" i="3" s="1"/>
  <c r="O230" i="3"/>
  <c r="N231" i="3"/>
  <c r="O231" i="3"/>
  <c r="N232" i="3"/>
  <c r="R232" i="3" s="1"/>
  <c r="O232" i="3"/>
  <c r="N233" i="3"/>
  <c r="O233" i="3"/>
  <c r="N234" i="3"/>
  <c r="R234" i="3" s="1"/>
  <c r="N235" i="3"/>
  <c r="R235" i="3" s="1"/>
  <c r="N236" i="3"/>
  <c r="R236" i="3"/>
  <c r="N237" i="3"/>
  <c r="O237" i="3"/>
  <c r="P237" i="3"/>
  <c r="Q237" i="3"/>
  <c r="N238" i="3"/>
  <c r="O238" i="3"/>
  <c r="P238" i="3"/>
  <c r="Q238" i="3"/>
  <c r="N239" i="3"/>
  <c r="O239" i="3"/>
  <c r="P239" i="3"/>
  <c r="N240" i="3"/>
  <c r="R240" i="3" s="1"/>
  <c r="O240" i="3"/>
  <c r="N241" i="3"/>
  <c r="O241" i="3"/>
  <c r="R241" i="3" s="1"/>
  <c r="N242" i="3"/>
  <c r="R242" i="3" s="1"/>
  <c r="O242" i="3"/>
  <c r="N243" i="3"/>
  <c r="R243" i="3" s="1"/>
  <c r="O243" i="3"/>
  <c r="N244" i="3"/>
  <c r="R244" i="3" s="1"/>
  <c r="O244" i="3"/>
  <c r="N249" i="3"/>
  <c r="O249" i="3"/>
  <c r="N250" i="3"/>
  <c r="R250" i="3" s="1"/>
  <c r="O250" i="3"/>
  <c r="N251" i="3"/>
  <c r="R251" i="3" s="1"/>
  <c r="O251" i="3"/>
  <c r="N252" i="3"/>
  <c r="O252" i="3"/>
  <c r="R252" i="3"/>
  <c r="N253" i="3"/>
  <c r="O253" i="3"/>
  <c r="N254" i="3"/>
  <c r="R254" i="3" s="1"/>
  <c r="O254" i="3"/>
  <c r="N255" i="3"/>
  <c r="R255" i="3" s="1"/>
  <c r="O255" i="3"/>
  <c r="N256" i="3"/>
  <c r="O256" i="3"/>
  <c r="R256" i="3"/>
  <c r="N257" i="3"/>
  <c r="R257" i="3" s="1"/>
  <c r="O257" i="3"/>
  <c r="N258" i="3"/>
  <c r="R258" i="3" s="1"/>
  <c r="N259" i="3"/>
  <c r="R259" i="3" s="1"/>
  <c r="N260" i="3"/>
  <c r="R260" i="3" s="1"/>
  <c r="N261" i="3"/>
  <c r="R261" i="3" s="1"/>
  <c r="N262" i="3"/>
  <c r="R262" i="3" s="1"/>
  <c r="N263" i="3"/>
  <c r="O263" i="3"/>
  <c r="N264" i="3"/>
  <c r="R264" i="3" s="1"/>
  <c r="N265" i="3"/>
  <c r="O265" i="3"/>
  <c r="P265" i="3"/>
  <c r="Q265" i="3"/>
  <c r="N266" i="3"/>
  <c r="O266" i="3"/>
  <c r="N267" i="3"/>
  <c r="R267" i="3" s="1"/>
  <c r="N268" i="3"/>
  <c r="R268" i="3" s="1"/>
  <c r="N269" i="3"/>
  <c r="R269" i="3" s="1"/>
  <c r="N270" i="3"/>
  <c r="R270" i="3"/>
  <c r="N271" i="3"/>
  <c r="R271" i="3"/>
  <c r="N272" i="3"/>
  <c r="R272" i="3" s="1"/>
  <c r="N273" i="3"/>
  <c r="R273" i="3" s="1"/>
  <c r="N274" i="3"/>
  <c r="R274" i="3" s="1"/>
  <c r="N275" i="3"/>
  <c r="R275" i="3" s="1"/>
  <c r="N276" i="3"/>
  <c r="R276" i="3" s="1"/>
  <c r="N277" i="3"/>
  <c r="R277" i="3"/>
  <c r="N278" i="3"/>
  <c r="R278" i="3" s="1"/>
  <c r="N279" i="3"/>
  <c r="R279" i="3" s="1"/>
  <c r="N280" i="3"/>
  <c r="R280" i="3" s="1"/>
  <c r="N281" i="3"/>
  <c r="R281" i="3" s="1"/>
  <c r="N282" i="3"/>
  <c r="R282" i="3" s="1"/>
  <c r="N283" i="3"/>
  <c r="R283" i="3" s="1"/>
  <c r="N284" i="3"/>
  <c r="R284" i="3" s="1"/>
  <c r="N285" i="3"/>
  <c r="R285" i="3" s="1"/>
  <c r="N286" i="3"/>
  <c r="R286" i="3" s="1"/>
  <c r="N287" i="3"/>
  <c r="O287" i="3"/>
  <c r="N288" i="3"/>
  <c r="R288" i="3"/>
  <c r="N289" i="3"/>
  <c r="R289" i="3" s="1"/>
  <c r="N290" i="3"/>
  <c r="O290" i="3"/>
  <c r="P290" i="3"/>
  <c r="Q290" i="3"/>
  <c r="N291" i="3"/>
  <c r="O291" i="3"/>
  <c r="P291" i="3"/>
  <c r="Q291" i="3"/>
  <c r="N292" i="3"/>
  <c r="O292" i="3"/>
  <c r="P292" i="3"/>
  <c r="Q292" i="3"/>
  <c r="N293" i="3"/>
  <c r="O293" i="3"/>
  <c r="P293" i="3"/>
  <c r="N294" i="3"/>
  <c r="R294" i="3" s="1"/>
  <c r="O294" i="3"/>
  <c r="N295" i="3"/>
  <c r="O295" i="3"/>
  <c r="N296" i="3"/>
  <c r="O296" i="3"/>
  <c r="N297" i="3"/>
  <c r="O297" i="3"/>
  <c r="N298" i="3"/>
  <c r="R298" i="3" s="1"/>
  <c r="O298" i="3"/>
  <c r="N299" i="3"/>
  <c r="O299" i="3"/>
  <c r="N300" i="3"/>
  <c r="O300" i="3"/>
  <c r="N301" i="3"/>
  <c r="O301" i="3"/>
  <c r="N302" i="3"/>
  <c r="R302" i="3" s="1"/>
  <c r="O302" i="3"/>
  <c r="N303" i="3"/>
  <c r="R303" i="3" s="1"/>
  <c r="N304" i="3"/>
  <c r="R304" i="3" s="1"/>
  <c r="N305" i="3"/>
  <c r="R305" i="3" s="1"/>
  <c r="N306" i="3"/>
  <c r="R306" i="3"/>
  <c r="N307" i="3"/>
  <c r="R307" i="3" s="1"/>
  <c r="N308" i="3"/>
  <c r="R308" i="3" s="1"/>
  <c r="N309" i="3"/>
  <c r="R309" i="3" s="1"/>
  <c r="N310" i="3"/>
  <c r="R310" i="3" s="1"/>
  <c r="N311" i="3"/>
  <c r="R311" i="3" s="1"/>
  <c r="N312" i="3"/>
  <c r="R312" i="3" s="1"/>
  <c r="N313" i="3"/>
  <c r="R313" i="3" s="1"/>
  <c r="N314" i="3"/>
  <c r="R314" i="3" s="1"/>
  <c r="N315" i="3"/>
  <c r="R315" i="3" s="1"/>
  <c r="N316" i="3"/>
  <c r="R316" i="3" s="1"/>
  <c r="N317" i="3"/>
  <c r="R317" i="3" s="1"/>
  <c r="N318" i="3"/>
  <c r="R318" i="3"/>
  <c r="N319" i="3"/>
  <c r="R319" i="3" s="1"/>
  <c r="N320" i="3"/>
  <c r="R320" i="3" s="1"/>
  <c r="N321" i="3"/>
  <c r="R321" i="3" s="1"/>
  <c r="N322" i="3"/>
  <c r="R322" i="3" s="1"/>
  <c r="N323" i="3"/>
  <c r="R323" i="3" s="1"/>
  <c r="N324" i="3"/>
  <c r="R324" i="3" s="1"/>
  <c r="N325" i="3"/>
  <c r="R325" i="3" s="1"/>
  <c r="N326" i="3"/>
  <c r="R326" i="3" s="1"/>
  <c r="N327" i="3"/>
  <c r="R327" i="3" s="1"/>
  <c r="N328" i="3"/>
  <c r="R328" i="3" s="1"/>
  <c r="N329" i="3"/>
  <c r="R329" i="3" s="1"/>
  <c r="N330" i="3"/>
  <c r="R330" i="3"/>
  <c r="N331" i="3"/>
  <c r="R331" i="3" s="1"/>
  <c r="N332" i="3"/>
  <c r="R332" i="3" s="1"/>
  <c r="N333" i="3"/>
  <c r="R333" i="3" s="1"/>
  <c r="N334" i="3"/>
  <c r="R334" i="3" s="1"/>
  <c r="N335" i="3"/>
  <c r="R335" i="3" s="1"/>
  <c r="N336" i="3"/>
  <c r="R336" i="3" s="1"/>
  <c r="N337" i="3"/>
  <c r="R337" i="3" s="1"/>
  <c r="N338" i="3"/>
  <c r="R338" i="3"/>
  <c r="N339" i="3"/>
  <c r="R339" i="3" s="1"/>
  <c r="N340" i="3"/>
  <c r="R340" i="3" s="1"/>
  <c r="N341" i="3"/>
  <c r="R341" i="3" s="1"/>
  <c r="N342" i="3"/>
  <c r="R342" i="3" s="1"/>
  <c r="N343" i="3"/>
  <c r="R343" i="3" s="1"/>
  <c r="N344" i="3"/>
  <c r="R344" i="3" s="1"/>
  <c r="N345" i="3"/>
  <c r="R345" i="3" s="1"/>
  <c r="N346" i="3"/>
  <c r="R346" i="3" s="1"/>
  <c r="N347" i="3"/>
  <c r="R347" i="3" s="1"/>
  <c r="N348" i="3"/>
  <c r="R348" i="3" s="1"/>
  <c r="N349" i="3"/>
  <c r="R349" i="3" s="1"/>
  <c r="N350" i="3"/>
  <c r="R350" i="3"/>
  <c r="N351" i="3"/>
  <c r="R351" i="3" s="1"/>
  <c r="N352" i="3"/>
  <c r="R352" i="3" s="1"/>
  <c r="N353" i="3"/>
  <c r="R353" i="3" s="1"/>
  <c r="N354" i="3"/>
  <c r="R354" i="3" s="1"/>
  <c r="N355" i="3"/>
  <c r="R355" i="3" s="1"/>
  <c r="N356" i="3"/>
  <c r="R356" i="3" s="1"/>
  <c r="N357" i="3"/>
  <c r="R357" i="3" s="1"/>
  <c r="N358" i="3"/>
  <c r="R358" i="3" s="1"/>
  <c r="N359" i="3"/>
  <c r="R359" i="3" s="1"/>
  <c r="N360" i="3"/>
  <c r="R360" i="3" s="1"/>
  <c r="N361" i="3"/>
  <c r="R361" i="3" s="1"/>
  <c r="N362" i="3"/>
  <c r="R362" i="3" s="1"/>
  <c r="N363" i="3"/>
  <c r="R363" i="3" s="1"/>
  <c r="N364" i="3"/>
  <c r="R364" i="3" s="1"/>
  <c r="N365" i="3"/>
  <c r="R365" i="3" s="1"/>
  <c r="N366" i="3"/>
  <c r="R366" i="3" s="1"/>
  <c r="N367" i="3"/>
  <c r="R367" i="3" s="1"/>
  <c r="N368" i="3"/>
  <c r="R368" i="3" s="1"/>
  <c r="N369" i="3"/>
  <c r="R369" i="3" s="1"/>
  <c r="N370" i="3"/>
  <c r="R370" i="3"/>
  <c r="N371" i="3"/>
  <c r="R371" i="3" s="1"/>
  <c r="N372" i="3"/>
  <c r="R372" i="3" s="1"/>
  <c r="N373" i="3"/>
  <c r="R373" i="3" s="1"/>
  <c r="N374" i="3"/>
  <c r="R374" i="3" s="1"/>
  <c r="O374" i="3"/>
  <c r="N375" i="3"/>
  <c r="O375" i="3"/>
  <c r="N376" i="3"/>
  <c r="O376" i="3"/>
  <c r="N377" i="3"/>
  <c r="O377" i="3"/>
  <c r="N378" i="3"/>
  <c r="R378" i="3" s="1"/>
  <c r="N379" i="3"/>
  <c r="R379" i="3" s="1"/>
  <c r="N380" i="3"/>
  <c r="R380" i="3" s="1"/>
  <c r="N381" i="3"/>
  <c r="R381" i="3" s="1"/>
  <c r="N382" i="3"/>
  <c r="R382" i="3" s="1"/>
  <c r="N383" i="3"/>
  <c r="R383" i="3" s="1"/>
  <c r="N384" i="3"/>
  <c r="R384" i="3" s="1"/>
  <c r="N385" i="3"/>
  <c r="R385" i="3" s="1"/>
  <c r="N386" i="3"/>
  <c r="R386" i="3"/>
  <c r="N387" i="3"/>
  <c r="O387" i="3"/>
  <c r="N388" i="3"/>
  <c r="O388" i="3"/>
  <c r="N389" i="3"/>
  <c r="R389" i="3" s="1"/>
  <c r="O389" i="3"/>
  <c r="N390" i="3"/>
  <c r="O390" i="3"/>
  <c r="P390" i="3"/>
  <c r="R390" i="3" s="1"/>
  <c r="Q390" i="3"/>
  <c r="N391" i="3"/>
  <c r="O391" i="3"/>
  <c r="P391" i="3"/>
  <c r="Q391" i="3"/>
  <c r="N392" i="3"/>
  <c r="O392" i="3"/>
  <c r="P392" i="3"/>
  <c r="Q392" i="3"/>
  <c r="N393" i="3"/>
  <c r="R393" i="3" s="1"/>
  <c r="O393" i="3"/>
  <c r="P393" i="3"/>
  <c r="N394" i="3"/>
  <c r="O394" i="3"/>
  <c r="N395" i="3"/>
  <c r="O395" i="3"/>
  <c r="N396" i="3"/>
  <c r="R396" i="3" s="1"/>
  <c r="O396" i="3"/>
  <c r="N397" i="3"/>
  <c r="R397" i="3" s="1"/>
  <c r="O397" i="3"/>
  <c r="N398" i="3"/>
  <c r="O398" i="3"/>
  <c r="N399" i="3"/>
  <c r="O399" i="3"/>
  <c r="N400" i="3"/>
  <c r="O400" i="3"/>
  <c r="N401" i="3"/>
  <c r="R401" i="3" s="1"/>
  <c r="O401" i="3"/>
  <c r="N402" i="3"/>
  <c r="O402" i="3"/>
  <c r="N403" i="3"/>
  <c r="O403" i="3"/>
  <c r="N404" i="3"/>
  <c r="R404" i="3" s="1"/>
  <c r="O404" i="3"/>
  <c r="N405" i="3"/>
  <c r="O405" i="3"/>
  <c r="R405" i="3"/>
  <c r="N406" i="3"/>
  <c r="O406" i="3"/>
  <c r="N407" i="3"/>
  <c r="O407" i="3"/>
  <c r="N408" i="3"/>
  <c r="O408" i="3"/>
  <c r="R408" i="3" s="1"/>
  <c r="N409" i="3"/>
  <c r="O409" i="3"/>
  <c r="N410" i="3"/>
  <c r="O410" i="3"/>
  <c r="N411" i="3"/>
  <c r="O411" i="3"/>
  <c r="N412" i="3"/>
  <c r="R412" i="3" s="1"/>
  <c r="O412" i="3"/>
  <c r="N413" i="3"/>
  <c r="O413" i="3"/>
  <c r="R413" i="3"/>
  <c r="N414" i="3"/>
  <c r="O414" i="3"/>
  <c r="N415" i="3"/>
  <c r="O415" i="3"/>
  <c r="N416" i="3"/>
  <c r="O416" i="3"/>
  <c r="R416" i="3" s="1"/>
  <c r="N417" i="3"/>
  <c r="O417" i="3"/>
  <c r="R417" i="3" s="1"/>
  <c r="N418" i="3"/>
  <c r="O418" i="3"/>
  <c r="N419" i="3"/>
  <c r="O419" i="3"/>
  <c r="N420" i="3"/>
  <c r="O420" i="3"/>
  <c r="N421" i="3"/>
  <c r="R421" i="3" s="1"/>
  <c r="O421" i="3"/>
  <c r="N422" i="3"/>
  <c r="O422" i="3"/>
  <c r="N423" i="3"/>
  <c r="O423" i="3"/>
  <c r="N424" i="3"/>
  <c r="O424" i="3"/>
  <c r="R424" i="3" s="1"/>
  <c r="N425" i="3"/>
  <c r="R425" i="3" s="1"/>
  <c r="O425" i="3"/>
  <c r="N426" i="3"/>
  <c r="O426" i="3"/>
  <c r="N427" i="3"/>
  <c r="O427" i="3"/>
  <c r="N428" i="3"/>
  <c r="O428" i="3"/>
  <c r="N429" i="3"/>
  <c r="R429" i="3" s="1"/>
  <c r="O429" i="3"/>
  <c r="N430" i="3"/>
  <c r="O430" i="3"/>
  <c r="N431" i="3"/>
  <c r="O431" i="3"/>
  <c r="N432" i="3"/>
  <c r="R432" i="3" s="1"/>
  <c r="O432" i="3"/>
  <c r="N433" i="3"/>
  <c r="R433" i="3" s="1"/>
  <c r="O433" i="3"/>
  <c r="N434" i="3"/>
  <c r="O434" i="3"/>
  <c r="N435" i="3"/>
  <c r="O435" i="3"/>
  <c r="N436" i="3"/>
  <c r="R436" i="3" s="1"/>
  <c r="O436" i="3"/>
  <c r="N437" i="3"/>
  <c r="O437" i="3"/>
  <c r="R437" i="3"/>
  <c r="N438" i="3"/>
  <c r="O438" i="3"/>
  <c r="N439" i="3"/>
  <c r="O439" i="3"/>
  <c r="N440" i="3"/>
  <c r="O440" i="3"/>
  <c r="R440" i="3" s="1"/>
  <c r="N441" i="3"/>
  <c r="O441" i="3"/>
  <c r="N442" i="3"/>
  <c r="O442" i="3"/>
  <c r="N443" i="3"/>
  <c r="O443" i="3"/>
  <c r="N444" i="3"/>
  <c r="O444" i="3"/>
  <c r="R444" i="3" s="1"/>
  <c r="N445" i="3"/>
  <c r="O445" i="3"/>
  <c r="R445" i="3"/>
  <c r="N446" i="3"/>
  <c r="O446" i="3"/>
  <c r="N447" i="3"/>
  <c r="O447" i="3"/>
  <c r="N448" i="3"/>
  <c r="R448" i="3" s="1"/>
  <c r="O448" i="3"/>
  <c r="N449" i="3"/>
  <c r="O449" i="3"/>
  <c r="R449" i="3" s="1"/>
  <c r="N450" i="3"/>
  <c r="O450" i="3"/>
  <c r="N451" i="3"/>
  <c r="O451" i="3"/>
  <c r="N452" i="3"/>
  <c r="O452" i="3"/>
  <c r="N453" i="3"/>
  <c r="R453" i="3" s="1"/>
  <c r="O453" i="3"/>
  <c r="N454" i="3"/>
  <c r="R454" i="3" s="1"/>
  <c r="O454" i="3"/>
  <c r="N455" i="3"/>
  <c r="O455" i="3"/>
  <c r="N456" i="3"/>
  <c r="O456" i="3"/>
  <c r="R456" i="3" s="1"/>
  <c r="N457" i="3"/>
  <c r="R457" i="3" s="1"/>
  <c r="O457" i="3"/>
  <c r="N458" i="3"/>
  <c r="O458" i="3"/>
  <c r="N459" i="3"/>
  <c r="O459" i="3"/>
  <c r="N460" i="3"/>
  <c r="O460" i="3"/>
  <c r="R460" i="3" s="1"/>
  <c r="N461" i="3"/>
  <c r="R461" i="3" s="1"/>
  <c r="O461" i="3"/>
  <c r="N462" i="3"/>
  <c r="O462" i="3"/>
  <c r="N463" i="3"/>
  <c r="O463" i="3"/>
  <c r="N464" i="3"/>
  <c r="R464" i="3" s="1"/>
  <c r="O464" i="3"/>
  <c r="N465" i="3"/>
  <c r="R465" i="3" s="1"/>
  <c r="O465" i="3"/>
  <c r="N466" i="3"/>
  <c r="O466" i="3"/>
  <c r="N467" i="3"/>
  <c r="O467" i="3"/>
  <c r="N468" i="3"/>
  <c r="R468" i="3" s="1"/>
  <c r="O468" i="3"/>
  <c r="N469" i="3"/>
  <c r="R469" i="3" s="1"/>
  <c r="O469" i="3"/>
  <c r="N470" i="3"/>
  <c r="O470" i="3"/>
  <c r="N471" i="3"/>
  <c r="O471" i="3"/>
  <c r="N472" i="3"/>
  <c r="O472" i="3"/>
  <c r="R472" i="3" s="1"/>
  <c r="N473" i="3"/>
  <c r="R473" i="3" s="1"/>
  <c r="O473" i="3"/>
  <c r="N474" i="3"/>
  <c r="O474" i="3"/>
  <c r="N475" i="3"/>
  <c r="O475" i="3"/>
  <c r="N476" i="3"/>
  <c r="O476" i="3"/>
  <c r="R476" i="3" s="1"/>
  <c r="N477" i="3"/>
  <c r="O477" i="3"/>
  <c r="R477" i="3"/>
  <c r="N478" i="3"/>
  <c r="O478" i="3"/>
  <c r="N479" i="3"/>
  <c r="O479" i="3"/>
  <c r="N480" i="3"/>
  <c r="R480" i="3" s="1"/>
  <c r="O480" i="3"/>
  <c r="N481" i="3"/>
  <c r="O481" i="3"/>
  <c r="R481" i="3" s="1"/>
  <c r="N482" i="3"/>
  <c r="O482" i="3"/>
  <c r="N483" i="3"/>
  <c r="O483" i="3"/>
  <c r="N484" i="3"/>
  <c r="O484" i="3"/>
  <c r="N485" i="3"/>
  <c r="R485" i="3" s="1"/>
  <c r="O485" i="3"/>
  <c r="N486" i="3"/>
  <c r="O486" i="3"/>
  <c r="N487" i="3"/>
  <c r="O487" i="3"/>
  <c r="N488" i="3"/>
  <c r="O488" i="3"/>
  <c r="R488" i="3" s="1"/>
  <c r="AR3" i="1"/>
  <c r="AR5" i="1" s="1"/>
  <c r="AR6" i="1" s="1"/>
  <c r="AL3" i="1"/>
  <c r="AH52" i="1"/>
  <c r="AH53" i="1" s="1"/>
  <c r="AH54" i="1" s="1"/>
  <c r="AH55" i="1" s="1"/>
  <c r="AH56" i="1" s="1"/>
  <c r="AH57" i="1" s="1"/>
  <c r="AH58" i="1" s="1"/>
  <c r="AH59" i="1" s="1"/>
  <c r="AH60" i="1" s="1"/>
  <c r="AH61" i="1" s="1"/>
  <c r="AG51" i="1"/>
  <c r="AG52" i="1"/>
  <c r="AG53" i="1" s="1"/>
  <c r="AG54" i="1" s="1"/>
  <c r="AG55" i="1" s="1"/>
  <c r="AG56" i="1" s="1"/>
  <c r="AG57" i="1" s="1"/>
  <c r="AG58" i="1" s="1"/>
  <c r="AG59" i="1" s="1"/>
  <c r="AG60" i="1" s="1"/>
  <c r="AG61" i="1" s="1"/>
  <c r="AK49" i="1"/>
  <c r="AL49" i="1" s="1"/>
  <c r="AM49" i="1" s="1"/>
  <c r="AN49" i="1" s="1"/>
  <c r="AO49" i="1" s="1"/>
  <c r="AP49" i="1" s="1"/>
  <c r="AQ49" i="1" s="1"/>
  <c r="AR49" i="1" s="1"/>
  <c r="AJ48" i="1"/>
  <c r="AK48" i="1" s="1"/>
  <c r="AL48" i="1" s="1"/>
  <c r="AM48" i="1" s="1"/>
  <c r="AN48" i="1" s="1"/>
  <c r="AO48" i="1" s="1"/>
  <c r="AP48" i="1" s="1"/>
  <c r="AQ48" i="1" s="1"/>
  <c r="AR48" i="1" s="1"/>
  <c r="AJ50" i="1"/>
  <c r="AK50" i="1" s="1"/>
  <c r="AL50" i="1" s="1"/>
  <c r="AN17" i="1"/>
  <c r="AN18" i="1"/>
  <c r="AN19" i="1" s="1"/>
  <c r="AN20" i="1" s="1"/>
  <c r="AN21" i="1" s="1"/>
  <c r="AN22" i="1" s="1"/>
  <c r="AN23" i="1" s="1"/>
  <c r="AN24" i="1" s="1"/>
  <c r="AN25" i="1" s="1"/>
  <c r="AN26" i="1" s="1"/>
  <c r="AN27" i="1" s="1"/>
  <c r="AN28" i="1" s="1"/>
  <c r="AN29" i="1" s="1"/>
  <c r="AN30" i="1" s="1"/>
  <c r="AN31" i="1" s="1"/>
  <c r="AN32" i="1" s="1"/>
  <c r="AN33" i="1" s="1"/>
  <c r="AN34" i="1" s="1"/>
  <c r="AN35" i="1" s="1"/>
  <c r="AN36" i="1" s="1"/>
  <c r="AN37" i="1" s="1"/>
  <c r="AN38" i="1" s="1"/>
  <c r="AN39" i="1" s="1"/>
  <c r="AN40" i="1" s="1"/>
  <c r="AN41" i="1" s="1"/>
  <c r="AN42" i="1" s="1"/>
  <c r="AN43" i="1" s="1"/>
  <c r="AN44" i="1" s="1"/>
  <c r="AO16" i="1"/>
  <c r="AO17" i="1" s="1"/>
  <c r="AO18" i="1" s="1"/>
  <c r="AO19" i="1" s="1"/>
  <c r="AO20" i="1" s="1"/>
  <c r="AO21" i="1" s="1"/>
  <c r="AO22" i="1" s="1"/>
  <c r="AO23" i="1" s="1"/>
  <c r="AO24" i="1" s="1"/>
  <c r="AO25" i="1" s="1"/>
  <c r="AO26" i="1" s="1"/>
  <c r="AO27" i="1" s="1"/>
  <c r="AO28" i="1" s="1"/>
  <c r="AO29" i="1" s="1"/>
  <c r="AO30" i="1" s="1"/>
  <c r="AO31" i="1" s="1"/>
  <c r="AO32" i="1" s="1"/>
  <c r="AO33" i="1" s="1"/>
  <c r="AO34" i="1" s="1"/>
  <c r="AO35" i="1" s="1"/>
  <c r="AO36" i="1" s="1"/>
  <c r="AO37" i="1" s="1"/>
  <c r="AO38" i="1" s="1"/>
  <c r="AO39" i="1" s="1"/>
  <c r="AO40" i="1" s="1"/>
  <c r="AO41" i="1" s="1"/>
  <c r="AO42" i="1" s="1"/>
  <c r="AO43" i="1" s="1"/>
  <c r="AO44" i="1" s="1"/>
  <c r="AK3" i="1"/>
  <c r="C25" i="1" s="1"/>
  <c r="AK5" i="1" s="1"/>
  <c r="AV63" i="1"/>
  <c r="AO14" i="1"/>
  <c r="AO13" i="1" s="1"/>
  <c r="AO12" i="1" s="1"/>
  <c r="AO11" i="1" s="1"/>
  <c r="AO10" i="1" s="1"/>
  <c r="AO9" i="1" s="1"/>
  <c r="AO8" i="1" s="1"/>
  <c r="AO7" i="1" s="1"/>
  <c r="AO6" i="1" s="1"/>
  <c r="AO5" i="1" s="1"/>
  <c r="AO4" i="1" s="1"/>
  <c r="AO3" i="1" s="1"/>
  <c r="AN15" i="1"/>
  <c r="AN14" i="1" s="1"/>
  <c r="AN13" i="1" s="1"/>
  <c r="AN12" i="1"/>
  <c r="AN11" i="1" s="1"/>
  <c r="AN10" i="1" s="1"/>
  <c r="AN9" i="1" s="1"/>
  <c r="AN8" i="1" s="1"/>
  <c r="AN7" i="1" s="1"/>
  <c r="AN6" i="1" s="1"/>
  <c r="AN5" i="1" s="1"/>
  <c r="AN4" i="1" s="1"/>
  <c r="P245" i="3"/>
  <c r="P69" i="3"/>
  <c r="P73" i="3"/>
  <c r="P79" i="3"/>
  <c r="P85" i="3"/>
  <c r="P99" i="3"/>
  <c r="P105" i="3"/>
  <c r="P146" i="3"/>
  <c r="Q146" i="3"/>
  <c r="P149" i="3"/>
  <c r="Q149" i="3"/>
  <c r="P151" i="3"/>
  <c r="Q151" i="3"/>
  <c r="P153" i="3"/>
  <c r="Q153" i="3"/>
  <c r="P154" i="3"/>
  <c r="Q154" i="3"/>
  <c r="P156" i="3"/>
  <c r="Q156" i="3"/>
  <c r="P158" i="3"/>
  <c r="Q158" i="3"/>
  <c r="P163" i="3"/>
  <c r="Q163" i="3"/>
  <c r="P179" i="3"/>
  <c r="P180" i="3"/>
  <c r="P183" i="3"/>
  <c r="P184" i="3"/>
  <c r="P204" i="3"/>
  <c r="P216" i="3"/>
  <c r="P217" i="3"/>
  <c r="P232" i="3"/>
  <c r="Q232" i="3"/>
  <c r="P233" i="3"/>
  <c r="Q233" i="3"/>
  <c r="P243" i="3"/>
  <c r="P244" i="3"/>
  <c r="P297" i="3"/>
  <c r="P298" i="3"/>
  <c r="P299" i="3"/>
  <c r="P410" i="3"/>
  <c r="P412" i="3"/>
  <c r="P415" i="3"/>
  <c r="P417" i="3"/>
  <c r="P484" i="3"/>
  <c r="Q484" i="3"/>
  <c r="P485" i="3"/>
  <c r="AH120" i="1"/>
  <c r="AH121" i="1"/>
  <c r="AH122" i="1"/>
  <c r="AH123" i="1" s="1"/>
  <c r="AH124" i="1" s="1"/>
  <c r="AH125" i="1" s="1"/>
  <c r="AH126" i="1" s="1"/>
  <c r="AH127" i="1" s="1"/>
  <c r="AH128" i="1" s="1"/>
  <c r="AH129" i="1" s="1"/>
  <c r="AG119" i="1"/>
  <c r="AG120" i="1" s="1"/>
  <c r="AG121" i="1" s="1"/>
  <c r="AG122" i="1" s="1"/>
  <c r="AG123" i="1" s="1"/>
  <c r="AG124" i="1" s="1"/>
  <c r="AG125" i="1" s="1"/>
  <c r="AG126" i="1" s="1"/>
  <c r="AG127" i="1" s="1"/>
  <c r="AG128" i="1" s="1"/>
  <c r="AG129" i="1" s="1"/>
  <c r="AK117" i="1"/>
  <c r="AL117" i="1" s="1"/>
  <c r="AM117" i="1" s="1"/>
  <c r="AN117" i="1" s="1"/>
  <c r="AO117" i="1" s="1"/>
  <c r="AP117" i="1" s="1"/>
  <c r="AQ117" i="1" s="1"/>
  <c r="AR117" i="1" s="1"/>
  <c r="AJ116" i="1"/>
  <c r="AK116" i="1" s="1"/>
  <c r="AL116" i="1" s="1"/>
  <c r="AM116" i="1"/>
  <c r="AN116" i="1" s="1"/>
  <c r="AO116" i="1" s="1"/>
  <c r="AP116" i="1" s="1"/>
  <c r="AQ116" i="1" s="1"/>
  <c r="AR116" i="1" s="1"/>
  <c r="AJ118" i="1"/>
  <c r="AK118" i="1"/>
  <c r="AL118" i="1" s="1"/>
  <c r="Q179" i="3"/>
  <c r="Q180" i="3"/>
  <c r="Q183" i="3"/>
  <c r="Q184" i="3"/>
  <c r="P194" i="3"/>
  <c r="P195" i="3"/>
  <c r="P197" i="3"/>
  <c r="P198" i="3"/>
  <c r="AI119" i="1"/>
  <c r="AI120" i="1" s="1"/>
  <c r="AI121" i="1" s="1"/>
  <c r="AI122" i="1" s="1"/>
  <c r="AI123" i="1" s="1"/>
  <c r="AI124" i="1" s="1"/>
  <c r="AI125" i="1" s="1"/>
  <c r="AI126" i="1" s="1"/>
  <c r="AI127" i="1" s="1"/>
  <c r="AI128" i="1" s="1"/>
  <c r="AI129" i="1" s="1"/>
  <c r="AJ119" i="1"/>
  <c r="AJ120" i="1" s="1"/>
  <c r="AJ121" i="1" s="1"/>
  <c r="AJ122" i="1"/>
  <c r="AJ123" i="1" s="1"/>
  <c r="AJ124" i="1" s="1"/>
  <c r="AJ125" i="1" s="1"/>
  <c r="AJ126" i="1" s="1"/>
  <c r="AJ127" i="1" s="1"/>
  <c r="AJ128" i="1" s="1"/>
  <c r="AJ129" i="1" s="1"/>
  <c r="Q3" i="3"/>
  <c r="Q9" i="3"/>
  <c r="Q10" i="3"/>
  <c r="Q17" i="3"/>
  <c r="Q18" i="3"/>
  <c r="Q19" i="3"/>
  <c r="Q20" i="3"/>
  <c r="Q21" i="3"/>
  <c r="Q22" i="3"/>
  <c r="Q53" i="3"/>
  <c r="Q56" i="3"/>
  <c r="Q378" i="3"/>
  <c r="Q381" i="3"/>
  <c r="O3" i="3"/>
  <c r="P3" i="3"/>
  <c r="O4" i="3"/>
  <c r="O9" i="3"/>
  <c r="P9" i="3"/>
  <c r="O10" i="3"/>
  <c r="P10" i="3"/>
  <c r="O13" i="3"/>
  <c r="O14" i="3"/>
  <c r="O15" i="3"/>
  <c r="O16" i="3"/>
  <c r="O17" i="3"/>
  <c r="P17" i="3"/>
  <c r="O18" i="3"/>
  <c r="P18" i="3"/>
  <c r="O19" i="3"/>
  <c r="P19" i="3"/>
  <c r="O20" i="3"/>
  <c r="P20" i="3"/>
  <c r="O21" i="3"/>
  <c r="P21" i="3"/>
  <c r="O22" i="3"/>
  <c r="P22" i="3"/>
  <c r="O23" i="3"/>
  <c r="O24" i="3"/>
  <c r="O25" i="3"/>
  <c r="O26" i="3"/>
  <c r="O27" i="3"/>
  <c r="O31" i="3"/>
  <c r="O32" i="3"/>
  <c r="O33" i="3"/>
  <c r="O34" i="3"/>
  <c r="O35" i="3"/>
  <c r="O41" i="3"/>
  <c r="O42" i="3"/>
  <c r="O43" i="3"/>
  <c r="O44" i="3"/>
  <c r="O45" i="3"/>
  <c r="O46" i="3"/>
  <c r="O47" i="3"/>
  <c r="O48" i="3"/>
  <c r="O49" i="3"/>
  <c r="O50" i="3"/>
  <c r="O51" i="3"/>
  <c r="O52" i="3"/>
  <c r="O53" i="3"/>
  <c r="P53" i="3"/>
  <c r="O54" i="3"/>
  <c r="O55" i="3"/>
  <c r="O56" i="3"/>
  <c r="P56" i="3"/>
  <c r="Q69" i="3"/>
  <c r="Q73" i="3"/>
  <c r="Q79" i="3"/>
  <c r="Q99" i="3"/>
  <c r="O206" i="3"/>
  <c r="O207" i="3"/>
  <c r="O208" i="3"/>
  <c r="O209" i="3"/>
  <c r="O210" i="3"/>
  <c r="O211" i="3"/>
  <c r="Q216" i="3"/>
  <c r="Q217" i="3"/>
  <c r="O234" i="3"/>
  <c r="O235" i="3"/>
  <c r="O236" i="3"/>
  <c r="Q243" i="3"/>
  <c r="Q244" i="3"/>
  <c r="O258" i="3"/>
  <c r="O259" i="3"/>
  <c r="O260" i="3"/>
  <c r="O261" i="3"/>
  <c r="O262" i="3"/>
  <c r="O264" i="3"/>
  <c r="O269" i="3"/>
  <c r="O270" i="3"/>
  <c r="O273" i="3"/>
  <c r="O274" i="3"/>
  <c r="O275" i="3"/>
  <c r="O276" i="3"/>
  <c r="O277" i="3"/>
  <c r="O278" i="3"/>
  <c r="O279" i="3"/>
  <c r="O280" i="3"/>
  <c r="O281" i="3"/>
  <c r="O282" i="3"/>
  <c r="O283" i="3"/>
  <c r="O284" i="3"/>
  <c r="O285" i="3"/>
  <c r="O286" i="3"/>
  <c r="O288" i="3"/>
  <c r="O289" i="3"/>
  <c r="Q297" i="3"/>
  <c r="Q298" i="3"/>
  <c r="O315" i="3"/>
  <c r="O316" i="3"/>
  <c r="O317" i="3"/>
  <c r="O320" i="3"/>
  <c r="O321" i="3"/>
  <c r="O323" i="3"/>
  <c r="O330" i="3"/>
  <c r="O331" i="3"/>
  <c r="O332" i="3"/>
  <c r="O333" i="3"/>
  <c r="O334" i="3"/>
  <c r="O335" i="3"/>
  <c r="O336" i="3"/>
  <c r="O337" i="3"/>
  <c r="O338" i="3"/>
  <c r="O339" i="3"/>
  <c r="O340" i="3"/>
  <c r="O341" i="3"/>
  <c r="O342" i="3"/>
  <c r="O343" i="3"/>
  <c r="O344" i="3"/>
  <c r="O345" i="3"/>
  <c r="O346" i="3"/>
  <c r="O347" i="3"/>
  <c r="O348" i="3"/>
  <c r="O349" i="3"/>
  <c r="O350" i="3"/>
  <c r="O351" i="3"/>
  <c r="O352" i="3"/>
  <c r="O353" i="3"/>
  <c r="O354" i="3"/>
  <c r="O355" i="3"/>
  <c r="O356" i="3"/>
  <c r="O357" i="3"/>
  <c r="O358" i="3"/>
  <c r="O359" i="3"/>
  <c r="O360" i="3"/>
  <c r="O361" i="3"/>
  <c r="O362" i="3"/>
  <c r="O363" i="3"/>
  <c r="O364" i="3"/>
  <c r="O365" i="3"/>
  <c r="O366" i="3"/>
  <c r="O367" i="3"/>
  <c r="O368" i="3"/>
  <c r="O369" i="3"/>
  <c r="O370" i="3"/>
  <c r="O371" i="3"/>
  <c r="O372" i="3"/>
  <c r="O373" i="3"/>
  <c r="O378" i="3"/>
  <c r="P378" i="3"/>
  <c r="O379" i="3"/>
  <c r="O380" i="3"/>
  <c r="O381" i="3"/>
  <c r="P381" i="3"/>
  <c r="O382" i="3"/>
  <c r="O383" i="3"/>
  <c r="O384" i="3"/>
  <c r="O385" i="3"/>
  <c r="P385" i="3"/>
  <c r="O386" i="3"/>
  <c r="Q410" i="3"/>
  <c r="Q412" i="3"/>
  <c r="Q415" i="3"/>
  <c r="AR4" i="1"/>
  <c r="BV120" i="1"/>
  <c r="BV108" i="1"/>
  <c r="DE94" i="1"/>
  <c r="DT94" i="1" s="1"/>
  <c r="DG100" i="1"/>
  <c r="DV100" i="1" s="1"/>
  <c r="DV127" i="1" s="1"/>
  <c r="DG94" i="1"/>
  <c r="DV94" i="1" s="1"/>
  <c r="DV121" i="1" s="1"/>
  <c r="DT121" i="1"/>
  <c r="DE100" i="1"/>
  <c r="DT100" i="1" s="1"/>
  <c r="DT127" i="1" s="1"/>
  <c r="P41" i="3"/>
  <c r="P44" i="3"/>
  <c r="P47" i="3"/>
  <c r="P49" i="3"/>
  <c r="P206" i="3"/>
  <c r="P207" i="3"/>
  <c r="P208" i="3"/>
  <c r="P209" i="3"/>
  <c r="P260" i="3"/>
  <c r="P261" i="3"/>
  <c r="P277" i="3"/>
  <c r="P278" i="3"/>
  <c r="P279" i="3"/>
  <c r="P280" i="3"/>
  <c r="P281" i="3"/>
  <c r="P282" i="3"/>
  <c r="P340" i="3"/>
  <c r="P342" i="3"/>
  <c r="P345" i="3"/>
  <c r="P347" i="3"/>
  <c r="P362" i="3"/>
  <c r="P364" i="3"/>
  <c r="P368" i="3"/>
  <c r="O2" i="3"/>
  <c r="O6" i="3"/>
  <c r="O7" i="3"/>
  <c r="O8" i="3"/>
  <c r="O11" i="3"/>
  <c r="O12" i="3"/>
  <c r="P259" i="3"/>
  <c r="O267" i="3"/>
  <c r="O268" i="3"/>
  <c r="P269" i="3"/>
  <c r="O271" i="3"/>
  <c r="O272" i="3"/>
  <c r="P276" i="3"/>
  <c r="O304" i="3"/>
  <c r="O305" i="3"/>
  <c r="O306" i="3"/>
  <c r="O307" i="3"/>
  <c r="O308" i="3"/>
  <c r="O309" i="3"/>
  <c r="O310" i="3"/>
  <c r="O311" i="3"/>
  <c r="O312" i="3"/>
  <c r="O313" i="3"/>
  <c r="O314" i="3"/>
  <c r="P315" i="3"/>
  <c r="P316" i="3"/>
  <c r="P317" i="3"/>
  <c r="O318" i="3"/>
  <c r="O319" i="3"/>
  <c r="O322" i="3"/>
  <c r="O324" i="3"/>
  <c r="O325" i="3"/>
  <c r="O326" i="3"/>
  <c r="O327" i="3"/>
  <c r="O328" i="3"/>
  <c r="O329" i="3"/>
  <c r="P336" i="3"/>
  <c r="P338" i="3"/>
  <c r="P339" i="3"/>
  <c r="P359" i="3"/>
  <c r="P361" i="3"/>
  <c r="P382" i="3"/>
  <c r="Q382" i="3"/>
  <c r="P383" i="3"/>
  <c r="Q383" i="3"/>
  <c r="P384" i="3"/>
  <c r="Q384" i="3"/>
  <c r="Q385" i="3"/>
  <c r="P386" i="3"/>
  <c r="Q386" i="3"/>
  <c r="P387" i="3"/>
  <c r="Q387" i="3"/>
  <c r="P388" i="3"/>
  <c r="Q388" i="3"/>
  <c r="P389" i="3"/>
  <c r="Q389" i="3"/>
  <c r="Q393" i="3"/>
  <c r="P394" i="3"/>
  <c r="Q394" i="3"/>
  <c r="P395" i="3"/>
  <c r="Q395" i="3"/>
  <c r="P396" i="3"/>
  <c r="Q396" i="3"/>
  <c r="P397" i="3"/>
  <c r="Q397" i="3"/>
  <c r="P398" i="3"/>
  <c r="Q398" i="3"/>
  <c r="P399" i="3"/>
  <c r="Q399" i="3"/>
  <c r="P400" i="3"/>
  <c r="Q400" i="3"/>
  <c r="P401" i="3"/>
  <c r="Q401" i="3"/>
  <c r="P402" i="3"/>
  <c r="Q402" i="3"/>
  <c r="P403" i="3"/>
  <c r="Q403" i="3"/>
  <c r="P404" i="3"/>
  <c r="Q404" i="3"/>
  <c r="P405" i="3"/>
  <c r="Q405" i="3"/>
  <c r="P406" i="3"/>
  <c r="Q406" i="3"/>
  <c r="P407" i="3"/>
  <c r="Q407" i="3"/>
  <c r="P408" i="3"/>
  <c r="Q408" i="3"/>
  <c r="P409" i="3"/>
  <c r="Q409" i="3"/>
  <c r="P411" i="3"/>
  <c r="Q411" i="3"/>
  <c r="P413" i="3"/>
  <c r="Q413" i="3"/>
  <c r="P414" i="3"/>
  <c r="Q414" i="3"/>
  <c r="P416" i="3"/>
  <c r="Q416" i="3"/>
  <c r="Q417" i="3"/>
  <c r="P418" i="3"/>
  <c r="Q418" i="3"/>
  <c r="P419" i="3"/>
  <c r="Q419" i="3"/>
  <c r="P420" i="3"/>
  <c r="Q420" i="3"/>
  <c r="P421" i="3"/>
  <c r="Q421" i="3"/>
  <c r="P422" i="3"/>
  <c r="Q422" i="3"/>
  <c r="P423" i="3"/>
  <c r="Q423" i="3"/>
  <c r="P424" i="3"/>
  <c r="Q424" i="3"/>
  <c r="P425" i="3"/>
  <c r="Q425" i="3"/>
  <c r="P426" i="3"/>
  <c r="Q426" i="3"/>
  <c r="P427" i="3"/>
  <c r="Q427" i="3"/>
  <c r="P428" i="3"/>
  <c r="Q428" i="3"/>
  <c r="P429" i="3"/>
  <c r="Q429" i="3"/>
  <c r="P430" i="3"/>
  <c r="Q430" i="3"/>
  <c r="P431" i="3"/>
  <c r="Q431" i="3"/>
  <c r="P432" i="3"/>
  <c r="Q432" i="3"/>
  <c r="P433" i="3"/>
  <c r="Q433" i="3"/>
  <c r="P434" i="3"/>
  <c r="Q434" i="3"/>
  <c r="P435" i="3"/>
  <c r="Q435" i="3"/>
  <c r="P436" i="3"/>
  <c r="Q436" i="3"/>
  <c r="P437" i="3"/>
  <c r="Q437" i="3"/>
  <c r="P438" i="3"/>
  <c r="Q438" i="3"/>
  <c r="P439" i="3"/>
  <c r="Q439" i="3"/>
  <c r="P440" i="3"/>
  <c r="Q440" i="3"/>
  <c r="P441" i="3"/>
  <c r="Q441" i="3"/>
  <c r="P442" i="3"/>
  <c r="Q442" i="3"/>
  <c r="P443" i="3"/>
  <c r="Q443" i="3"/>
  <c r="P444" i="3"/>
  <c r="Q444" i="3"/>
  <c r="P445" i="3"/>
  <c r="Q445" i="3"/>
  <c r="P446" i="3"/>
  <c r="Q446" i="3"/>
  <c r="P447" i="3"/>
  <c r="Q447" i="3"/>
  <c r="P448" i="3"/>
  <c r="Q448" i="3"/>
  <c r="P449" i="3"/>
  <c r="Q449" i="3"/>
  <c r="P450" i="3"/>
  <c r="Q450" i="3"/>
  <c r="P451" i="3"/>
  <c r="Q451" i="3"/>
  <c r="P452" i="3"/>
  <c r="Q452" i="3"/>
  <c r="P453" i="3"/>
  <c r="Q453" i="3"/>
  <c r="P454" i="3"/>
  <c r="Q454" i="3"/>
  <c r="P455" i="3"/>
  <c r="Q455" i="3"/>
  <c r="P456" i="3"/>
  <c r="Q456" i="3"/>
  <c r="P457" i="3"/>
  <c r="Q457" i="3"/>
  <c r="P458" i="3"/>
  <c r="Q458" i="3"/>
  <c r="P459" i="3"/>
  <c r="Q459" i="3"/>
  <c r="P460" i="3"/>
  <c r="Q460" i="3"/>
  <c r="P461" i="3"/>
  <c r="Q461" i="3"/>
  <c r="P462" i="3"/>
  <c r="Q462" i="3"/>
  <c r="P463" i="3"/>
  <c r="Q463" i="3"/>
  <c r="P464" i="3"/>
  <c r="Q464" i="3"/>
  <c r="P465" i="3"/>
  <c r="Q465" i="3"/>
  <c r="P466" i="3"/>
  <c r="Q466" i="3"/>
  <c r="P467" i="3"/>
  <c r="Q467" i="3"/>
  <c r="P468" i="3"/>
  <c r="Q468" i="3"/>
  <c r="P469" i="3"/>
  <c r="Q469" i="3"/>
  <c r="P470" i="3"/>
  <c r="Q470" i="3"/>
  <c r="P471" i="3"/>
  <c r="Q471" i="3"/>
  <c r="P472" i="3"/>
  <c r="Q472" i="3"/>
  <c r="P473" i="3"/>
  <c r="Q473" i="3"/>
  <c r="P474" i="3"/>
  <c r="Q474" i="3"/>
  <c r="P475" i="3"/>
  <c r="Q475" i="3"/>
  <c r="P476" i="3"/>
  <c r="Q476" i="3"/>
  <c r="P477" i="3"/>
  <c r="Q477" i="3"/>
  <c r="P478" i="3"/>
  <c r="Q478" i="3"/>
  <c r="P479" i="3"/>
  <c r="Q479" i="3"/>
  <c r="P480" i="3"/>
  <c r="Q480" i="3"/>
  <c r="P481" i="3"/>
  <c r="Q481" i="3"/>
  <c r="P482" i="3"/>
  <c r="Q482" i="3"/>
  <c r="P483" i="3"/>
  <c r="Q483" i="3"/>
  <c r="Q485" i="3"/>
  <c r="P486" i="3"/>
  <c r="Q486" i="3"/>
  <c r="P487" i="3"/>
  <c r="Q487" i="3"/>
  <c r="P488" i="3"/>
  <c r="Q488" i="3"/>
  <c r="P312" i="3"/>
  <c r="Q312" i="3"/>
  <c r="P313" i="3"/>
  <c r="Q313" i="3"/>
  <c r="P314" i="3"/>
  <c r="Q314" i="3"/>
  <c r="Q315" i="3"/>
  <c r="Q316" i="3"/>
  <c r="Q317" i="3"/>
  <c r="P318" i="3"/>
  <c r="Q318" i="3"/>
  <c r="P319" i="3"/>
  <c r="Q319" i="3"/>
  <c r="P320" i="3"/>
  <c r="Q320" i="3"/>
  <c r="P321" i="3"/>
  <c r="Q321" i="3"/>
  <c r="P322" i="3"/>
  <c r="Q322" i="3"/>
  <c r="P323" i="3"/>
  <c r="Q323" i="3"/>
  <c r="P324" i="3"/>
  <c r="Q324" i="3"/>
  <c r="P325" i="3"/>
  <c r="Q325" i="3"/>
  <c r="P326" i="3"/>
  <c r="Q326" i="3"/>
  <c r="P327" i="3"/>
  <c r="Q327" i="3"/>
  <c r="P328" i="3"/>
  <c r="Q328" i="3"/>
  <c r="P329" i="3"/>
  <c r="Q329" i="3"/>
  <c r="P330" i="3"/>
  <c r="Q330" i="3"/>
  <c r="P331" i="3"/>
  <c r="Q331" i="3"/>
  <c r="P332" i="3"/>
  <c r="Q332" i="3"/>
  <c r="P333" i="3"/>
  <c r="Q333" i="3"/>
  <c r="P334" i="3"/>
  <c r="Q334" i="3"/>
  <c r="P335" i="3"/>
  <c r="Q335" i="3"/>
  <c r="Q336" i="3"/>
  <c r="P337" i="3"/>
  <c r="Q337" i="3"/>
  <c r="Q338" i="3"/>
  <c r="Q339" i="3"/>
  <c r="Q340" i="3"/>
  <c r="P341" i="3"/>
  <c r="Q341" i="3"/>
  <c r="Q342" i="3"/>
  <c r="P343" i="3"/>
  <c r="Q343" i="3"/>
  <c r="P344" i="3"/>
  <c r="Q344" i="3"/>
  <c r="Q345" i="3"/>
  <c r="P346" i="3"/>
  <c r="Q346" i="3"/>
  <c r="Q347" i="3"/>
  <c r="P348" i="3"/>
  <c r="Q348" i="3"/>
  <c r="P349" i="3"/>
  <c r="Q349" i="3"/>
  <c r="P350" i="3"/>
  <c r="Q350" i="3"/>
  <c r="P351" i="3"/>
  <c r="Q351" i="3"/>
  <c r="P352" i="3"/>
  <c r="Q352" i="3"/>
  <c r="P353" i="3"/>
  <c r="Q353" i="3"/>
  <c r="P354" i="3"/>
  <c r="Q354" i="3"/>
  <c r="P355" i="3"/>
  <c r="Q355" i="3"/>
  <c r="P356" i="3"/>
  <c r="Q356" i="3"/>
  <c r="P357" i="3"/>
  <c r="Q357" i="3"/>
  <c r="P358" i="3"/>
  <c r="Q358" i="3"/>
  <c r="Q359" i="3"/>
  <c r="P360" i="3"/>
  <c r="Q360" i="3"/>
  <c r="Q361" i="3"/>
  <c r="Q362" i="3"/>
  <c r="P363" i="3"/>
  <c r="Q363" i="3"/>
  <c r="Q364" i="3"/>
  <c r="P365" i="3"/>
  <c r="Q365" i="3"/>
  <c r="P366" i="3"/>
  <c r="Q366" i="3"/>
  <c r="P367" i="3"/>
  <c r="Q367" i="3"/>
  <c r="Q368" i="3"/>
  <c r="P369" i="3"/>
  <c r="Q369" i="3"/>
  <c r="P370" i="3"/>
  <c r="Q370" i="3"/>
  <c r="P371" i="3"/>
  <c r="Q371" i="3"/>
  <c r="P372" i="3"/>
  <c r="Q372" i="3"/>
  <c r="P373" i="3"/>
  <c r="Q373" i="3"/>
  <c r="P374" i="3"/>
  <c r="Q374" i="3"/>
  <c r="P375" i="3"/>
  <c r="Q375" i="3"/>
  <c r="P376" i="3"/>
  <c r="Q376" i="3"/>
  <c r="P377" i="3"/>
  <c r="Q377" i="3"/>
  <c r="P379" i="3"/>
  <c r="Q379" i="3"/>
  <c r="P380" i="3"/>
  <c r="Q380" i="3"/>
  <c r="P271" i="3"/>
  <c r="Q271" i="3"/>
  <c r="P272" i="3"/>
  <c r="Q272" i="3"/>
  <c r="P55" i="3"/>
  <c r="P80" i="3"/>
  <c r="P81" i="3"/>
  <c r="P82" i="3"/>
  <c r="P100" i="3"/>
  <c r="P108" i="3"/>
  <c r="Q108" i="3"/>
  <c r="P109" i="3"/>
  <c r="Q109" i="3"/>
  <c r="P124" i="3"/>
  <c r="P134" i="3"/>
  <c r="P135" i="3"/>
  <c r="P136" i="3"/>
  <c r="P162" i="3"/>
  <c r="Q162" i="3"/>
  <c r="P164" i="3"/>
  <c r="Q164" i="3"/>
  <c r="P165" i="3"/>
  <c r="Q165" i="3"/>
  <c r="P171" i="3"/>
  <c r="P172" i="3"/>
  <c r="P191" i="3"/>
  <c r="P192" i="3"/>
  <c r="Q207" i="3"/>
  <c r="P214" i="3"/>
  <c r="P218" i="3"/>
  <c r="Q218" i="3"/>
  <c r="P221" i="3"/>
  <c r="Q221" i="3"/>
  <c r="P240" i="3"/>
  <c r="P241" i="3"/>
  <c r="P247" i="3"/>
  <c r="P249" i="3"/>
  <c r="P252" i="3"/>
  <c r="P254" i="3"/>
  <c r="O303" i="3"/>
  <c r="Q311" i="3"/>
  <c r="P311" i="3"/>
  <c r="Q310" i="3"/>
  <c r="P310" i="3"/>
  <c r="Q309" i="3"/>
  <c r="P309" i="3"/>
  <c r="Q308" i="3"/>
  <c r="P308" i="3"/>
  <c r="Q307" i="3"/>
  <c r="P307" i="3"/>
  <c r="Q306" i="3"/>
  <c r="P306" i="3"/>
  <c r="Q305" i="3"/>
  <c r="P305" i="3"/>
  <c r="Q304" i="3"/>
  <c r="P304" i="3"/>
  <c r="Q303" i="3"/>
  <c r="P303" i="3"/>
  <c r="Q302" i="3"/>
  <c r="P302" i="3"/>
  <c r="Q301" i="3"/>
  <c r="P301" i="3"/>
  <c r="Q300" i="3"/>
  <c r="P300" i="3"/>
  <c r="Q299" i="3"/>
  <c r="Q296" i="3"/>
  <c r="P296" i="3"/>
  <c r="Q295" i="3"/>
  <c r="P295" i="3"/>
  <c r="Q294" i="3"/>
  <c r="P294" i="3"/>
  <c r="Q293" i="3"/>
  <c r="Q289" i="3"/>
  <c r="P289" i="3"/>
  <c r="Q288" i="3"/>
  <c r="P288" i="3"/>
  <c r="Q287" i="3"/>
  <c r="P287" i="3"/>
  <c r="Q286" i="3"/>
  <c r="P286" i="3"/>
  <c r="Q285" i="3"/>
  <c r="P285" i="3"/>
  <c r="Q284" i="3"/>
  <c r="P284" i="3"/>
  <c r="Q283" i="3"/>
  <c r="P283" i="3"/>
  <c r="Q282" i="3"/>
  <c r="Q281" i="3"/>
  <c r="Q280" i="3"/>
  <c r="Q279" i="3"/>
  <c r="Q278" i="3"/>
  <c r="Q277" i="3"/>
  <c r="Q276" i="3"/>
  <c r="Q275" i="3"/>
  <c r="P275" i="3"/>
  <c r="Q274" i="3"/>
  <c r="P274" i="3"/>
  <c r="Q273" i="3"/>
  <c r="P273" i="3"/>
  <c r="Q270" i="3"/>
  <c r="P270" i="3"/>
  <c r="Q269" i="3"/>
  <c r="Q268" i="3"/>
  <c r="P268" i="3"/>
  <c r="Q267" i="3"/>
  <c r="P267" i="3"/>
  <c r="Q266" i="3"/>
  <c r="P266" i="3"/>
  <c r="Q264" i="3"/>
  <c r="P264" i="3"/>
  <c r="Q263" i="3"/>
  <c r="P263" i="3"/>
  <c r="Q262" i="3"/>
  <c r="P262" i="3"/>
  <c r="Q261" i="3"/>
  <c r="Q260" i="3"/>
  <c r="Q259" i="3"/>
  <c r="Q258" i="3"/>
  <c r="P258" i="3"/>
  <c r="Q257" i="3"/>
  <c r="P257" i="3"/>
  <c r="Q256" i="3"/>
  <c r="P256" i="3"/>
  <c r="Q255" i="3"/>
  <c r="P255" i="3"/>
  <c r="Q254" i="3"/>
  <c r="Q253" i="3"/>
  <c r="P253" i="3"/>
  <c r="Q252" i="3"/>
  <c r="Q251" i="3"/>
  <c r="P251" i="3"/>
  <c r="Q250" i="3"/>
  <c r="P250" i="3"/>
  <c r="Q249" i="3"/>
  <c r="Q248" i="3"/>
  <c r="P248" i="3"/>
  <c r="Q247" i="3"/>
  <c r="Q246" i="3"/>
  <c r="P246" i="3"/>
  <c r="Q245" i="3"/>
  <c r="Q242" i="3"/>
  <c r="P242" i="3"/>
  <c r="Q241" i="3"/>
  <c r="Q240" i="3"/>
  <c r="Q239" i="3"/>
  <c r="Q236" i="3"/>
  <c r="P236" i="3"/>
  <c r="Q235" i="3"/>
  <c r="P235" i="3"/>
  <c r="Q234" i="3"/>
  <c r="P234" i="3"/>
  <c r="Q231" i="3"/>
  <c r="P231" i="3"/>
  <c r="Q230" i="3"/>
  <c r="P230" i="3"/>
  <c r="Q229" i="3"/>
  <c r="P229" i="3"/>
  <c r="Q228" i="3"/>
  <c r="P228" i="3"/>
  <c r="Q227" i="3"/>
  <c r="P227" i="3"/>
  <c r="Q226" i="3"/>
  <c r="P226" i="3"/>
  <c r="Q225" i="3"/>
  <c r="P225" i="3"/>
  <c r="Q224" i="3"/>
  <c r="P224" i="3"/>
  <c r="Q223" i="3"/>
  <c r="P223" i="3"/>
  <c r="Q222" i="3"/>
  <c r="P222" i="3"/>
  <c r="Q220" i="3"/>
  <c r="P220" i="3"/>
  <c r="Q219" i="3"/>
  <c r="P219" i="3"/>
  <c r="Q215" i="3"/>
  <c r="P215" i="3"/>
  <c r="Q214" i="3"/>
  <c r="Q211" i="3"/>
  <c r="P211" i="3"/>
  <c r="Q210" i="3"/>
  <c r="P210" i="3"/>
  <c r="Q209" i="3"/>
  <c r="Q208" i="3"/>
  <c r="Q206" i="3"/>
  <c r="P205" i="3"/>
  <c r="Q205" i="3"/>
  <c r="Q204" i="3"/>
  <c r="Q203" i="3"/>
  <c r="P203" i="3"/>
  <c r="Q202" i="3"/>
  <c r="P202" i="3"/>
  <c r="P201" i="3"/>
  <c r="Q201" i="3"/>
  <c r="Q200" i="3"/>
  <c r="P200" i="3"/>
  <c r="P199" i="3"/>
  <c r="Q199" i="3"/>
  <c r="Q198" i="3"/>
  <c r="Q197" i="3"/>
  <c r="Q196" i="3"/>
  <c r="P196" i="3"/>
  <c r="Q195" i="3"/>
  <c r="Q194" i="3"/>
  <c r="Q193" i="3"/>
  <c r="P193" i="3"/>
  <c r="Q192" i="3"/>
  <c r="Q191" i="3"/>
  <c r="Q190" i="3"/>
  <c r="P190" i="3"/>
  <c r="Q189" i="3"/>
  <c r="P189" i="3"/>
  <c r="Q188" i="3"/>
  <c r="P188" i="3"/>
  <c r="Q187" i="3"/>
  <c r="P187" i="3"/>
  <c r="Q186" i="3"/>
  <c r="P186" i="3"/>
  <c r="Q185" i="3"/>
  <c r="P185" i="3"/>
  <c r="Q182" i="3"/>
  <c r="P182" i="3"/>
  <c r="Q181" i="3"/>
  <c r="P181" i="3"/>
  <c r="Q178" i="3"/>
  <c r="P178" i="3"/>
  <c r="Q177" i="3"/>
  <c r="P177" i="3"/>
  <c r="P176" i="3"/>
  <c r="Q176" i="3"/>
  <c r="Q175" i="3"/>
  <c r="P175" i="3"/>
  <c r="P174" i="3"/>
  <c r="Q174" i="3"/>
  <c r="Q173" i="3"/>
  <c r="P173" i="3"/>
  <c r="Q172" i="3"/>
  <c r="Q171" i="3"/>
  <c r="Q170" i="3"/>
  <c r="P170" i="3"/>
  <c r="Q169" i="3"/>
  <c r="P169" i="3"/>
  <c r="Q168" i="3"/>
  <c r="P168" i="3"/>
  <c r="Q167" i="3"/>
  <c r="P167" i="3"/>
  <c r="Q166" i="3"/>
  <c r="P166" i="3"/>
  <c r="Q161" i="3"/>
  <c r="P161" i="3"/>
  <c r="P160" i="3"/>
  <c r="Q160" i="3"/>
  <c r="Q159" i="3"/>
  <c r="P159" i="3"/>
  <c r="P157" i="3"/>
  <c r="Q157" i="3"/>
  <c r="Q155" i="3"/>
  <c r="P155" i="3"/>
  <c r="Q152" i="3"/>
  <c r="P152" i="3"/>
  <c r="Q150" i="3"/>
  <c r="P150" i="3"/>
  <c r="Q148" i="3"/>
  <c r="P148" i="3"/>
  <c r="Q147" i="3"/>
  <c r="P147" i="3"/>
  <c r="Q145" i="3"/>
  <c r="P145" i="3"/>
  <c r="P144" i="3"/>
  <c r="Q144" i="3"/>
  <c r="Q143" i="3"/>
  <c r="P143" i="3"/>
  <c r="Q142" i="3"/>
  <c r="P142" i="3"/>
  <c r="Q141" i="3"/>
  <c r="P141" i="3"/>
  <c r="Q140" i="3"/>
  <c r="P140" i="3"/>
  <c r="Q139" i="3"/>
  <c r="P139" i="3"/>
  <c r="Q138" i="3"/>
  <c r="P138" i="3"/>
  <c r="Q137" i="3"/>
  <c r="P137" i="3"/>
  <c r="Q136" i="3"/>
  <c r="Q135" i="3"/>
  <c r="Q134" i="3"/>
  <c r="Q133" i="3"/>
  <c r="P133" i="3"/>
  <c r="Q132" i="3"/>
  <c r="P132" i="3"/>
  <c r="Q131" i="3"/>
  <c r="P131" i="3"/>
  <c r="Q130" i="3"/>
  <c r="P130" i="3"/>
  <c r="Q129" i="3"/>
  <c r="P129" i="3"/>
  <c r="Q128" i="3"/>
  <c r="P128" i="3"/>
  <c r="Q127" i="3"/>
  <c r="P127" i="3"/>
  <c r="Q126" i="3"/>
  <c r="P126" i="3"/>
  <c r="Q125" i="3"/>
  <c r="P125" i="3"/>
  <c r="Q124" i="3"/>
  <c r="Q123" i="3"/>
  <c r="P123" i="3"/>
  <c r="Q122" i="3"/>
  <c r="P122" i="3"/>
  <c r="Q121" i="3"/>
  <c r="P121" i="3"/>
  <c r="Q120" i="3"/>
  <c r="P120" i="3"/>
  <c r="P119" i="3"/>
  <c r="Q119" i="3"/>
  <c r="P118" i="3"/>
  <c r="Q118" i="3"/>
  <c r="P117" i="3"/>
  <c r="Q117" i="3"/>
  <c r="P116" i="3"/>
  <c r="Q116" i="3"/>
  <c r="Q115" i="3"/>
  <c r="P115" i="3"/>
  <c r="P114" i="3"/>
  <c r="Q114" i="3"/>
  <c r="P113" i="3"/>
  <c r="Q113" i="3"/>
  <c r="Q112" i="3"/>
  <c r="P112" i="3"/>
  <c r="Q111" i="3"/>
  <c r="P111" i="3"/>
  <c r="Q110" i="3"/>
  <c r="P110" i="3"/>
  <c r="P107" i="3"/>
  <c r="Q107" i="3"/>
  <c r="Q106" i="3"/>
  <c r="P106" i="3"/>
  <c r="Q105" i="3"/>
  <c r="Q104" i="3"/>
  <c r="P104" i="3"/>
  <c r="Q103" i="3"/>
  <c r="P103" i="3"/>
  <c r="Q102" i="3"/>
  <c r="P102" i="3"/>
  <c r="Q101" i="3"/>
  <c r="P101" i="3"/>
  <c r="Q100" i="3"/>
  <c r="P98" i="3"/>
  <c r="Q98" i="3"/>
  <c r="Q97" i="3"/>
  <c r="P97" i="3"/>
  <c r="P96" i="3"/>
  <c r="Q96" i="3"/>
  <c r="P95" i="3"/>
  <c r="Q95" i="3"/>
  <c r="Q94" i="3"/>
  <c r="P94" i="3"/>
  <c r="Q93" i="3"/>
  <c r="P93" i="3"/>
  <c r="Q92" i="3"/>
  <c r="P92" i="3"/>
  <c r="Q91" i="3"/>
  <c r="P91" i="3"/>
  <c r="Q90" i="3"/>
  <c r="P90" i="3"/>
  <c r="Q89" i="3"/>
  <c r="P89" i="3"/>
  <c r="Q88" i="3"/>
  <c r="P88" i="3"/>
  <c r="Q87" i="3"/>
  <c r="P87" i="3"/>
  <c r="Q86" i="3"/>
  <c r="P86" i="3"/>
  <c r="Q85" i="3"/>
  <c r="Q84" i="3"/>
  <c r="P84" i="3"/>
  <c r="Q83" i="3"/>
  <c r="P83" i="3"/>
  <c r="Q82" i="3"/>
  <c r="Q81" i="3"/>
  <c r="Q80" i="3"/>
  <c r="Q78" i="3"/>
  <c r="P78" i="3"/>
  <c r="Q77" i="3"/>
  <c r="P77" i="3"/>
  <c r="Q76" i="3"/>
  <c r="P76" i="3"/>
  <c r="Q75" i="3"/>
  <c r="P75" i="3"/>
  <c r="Q74" i="3"/>
  <c r="P74" i="3"/>
  <c r="Q72" i="3"/>
  <c r="P72" i="3"/>
  <c r="Q71" i="3"/>
  <c r="P71" i="3"/>
  <c r="Q70" i="3"/>
  <c r="P70" i="3"/>
  <c r="Q68" i="3"/>
  <c r="P68" i="3"/>
  <c r="Q67" i="3"/>
  <c r="P67" i="3"/>
  <c r="Q66" i="3"/>
  <c r="P66" i="3"/>
  <c r="Q65" i="3"/>
  <c r="P65" i="3"/>
  <c r="Q64" i="3"/>
  <c r="P64" i="3"/>
  <c r="Q63" i="3"/>
  <c r="P63" i="3"/>
  <c r="Q62" i="3"/>
  <c r="P62" i="3"/>
  <c r="Q61" i="3"/>
  <c r="P61" i="3"/>
  <c r="Q59" i="3"/>
  <c r="P59" i="3"/>
  <c r="Q58" i="3"/>
  <c r="P58" i="3"/>
  <c r="Q55" i="3"/>
  <c r="Q54" i="3"/>
  <c r="P54" i="3"/>
  <c r="Q52" i="3"/>
  <c r="P52" i="3"/>
  <c r="Q51" i="3"/>
  <c r="P51" i="3"/>
  <c r="Q50" i="3"/>
  <c r="P50" i="3"/>
  <c r="Q49" i="3"/>
  <c r="Q48" i="3"/>
  <c r="P48" i="3"/>
  <c r="Q47" i="3"/>
  <c r="Q46" i="3"/>
  <c r="P46" i="3"/>
  <c r="Q45" i="3"/>
  <c r="P45" i="3"/>
  <c r="Q44" i="3"/>
  <c r="Q43" i="3"/>
  <c r="P43" i="3"/>
  <c r="Q42" i="3"/>
  <c r="P42" i="3"/>
  <c r="Q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16" i="3"/>
  <c r="P16" i="3"/>
  <c r="Q15" i="3"/>
  <c r="P15" i="3"/>
  <c r="Q14" i="3"/>
  <c r="P14" i="3"/>
  <c r="Q13" i="3"/>
  <c r="P13" i="3"/>
  <c r="Q12" i="3"/>
  <c r="P12" i="3"/>
  <c r="Q11" i="3"/>
  <c r="P11" i="3"/>
  <c r="Q8" i="3"/>
  <c r="P8" i="3"/>
  <c r="Q7" i="3"/>
  <c r="P7" i="3"/>
  <c r="Q6" i="3"/>
  <c r="P6" i="3"/>
  <c r="Q5" i="3"/>
  <c r="P5" i="3"/>
  <c r="Q4" i="3"/>
  <c r="P4" i="3"/>
  <c r="Q2" i="3"/>
  <c r="P2" i="3"/>
  <c r="AZ11" i="1"/>
  <c r="B30" i="2"/>
  <c r="B28" i="2"/>
  <c r="B27" i="2"/>
  <c r="B25" i="2"/>
  <c r="B24" i="2"/>
  <c r="B22" i="2"/>
  <c r="B21" i="2"/>
  <c r="B19" i="2"/>
  <c r="B18" i="2"/>
  <c r="B15" i="2"/>
  <c r="B13" i="2"/>
  <c r="B12" i="2"/>
  <c r="B10" i="2"/>
  <c r="B9" i="2"/>
  <c r="B7" i="2"/>
  <c r="B6" i="2"/>
  <c r="B3" i="2"/>
  <c r="I17" i="1"/>
  <c r="I18" i="1"/>
  <c r="I19" i="1"/>
  <c r="I20" i="1"/>
  <c r="I21" i="1"/>
  <c r="I22" i="1"/>
  <c r="I23" i="1"/>
  <c r="I24"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60" i="1"/>
  <c r="B14" i="1" s="1"/>
  <c r="I61" i="1"/>
  <c r="B15" i="1" s="1"/>
  <c r="I62" i="1"/>
  <c r="I63" i="1"/>
  <c r="I64" i="1"/>
  <c r="B17" i="1" s="1"/>
  <c r="I68" i="1"/>
  <c r="B22" i="1" s="1"/>
  <c r="I69" i="1"/>
  <c r="B23" i="1" s="1"/>
  <c r="I70" i="1"/>
  <c r="I71" i="1"/>
  <c r="B25" i="1" s="1"/>
  <c r="I72" i="1"/>
  <c r="B26" i="1" s="1"/>
  <c r="I73" i="1"/>
  <c r="I74" i="1"/>
  <c r="B28" i="1" s="1"/>
  <c r="I75" i="1"/>
  <c r="I76" i="1"/>
  <c r="B30" i="1"/>
  <c r="I77" i="1"/>
  <c r="I78" i="1"/>
  <c r="B32" i="1" s="1"/>
  <c r="I82" i="1"/>
  <c r="F2" i="1" s="1"/>
  <c r="I83" i="1"/>
  <c r="I84" i="1"/>
  <c r="I85" i="1"/>
  <c r="I86" i="1"/>
  <c r="I87" i="1"/>
  <c r="I88" i="1"/>
  <c r="I91" i="1"/>
  <c r="B2" i="1" s="1"/>
  <c r="I93" i="1"/>
  <c r="B34" i="1" s="1"/>
  <c r="I13" i="1"/>
  <c r="I7" i="1"/>
  <c r="I8" i="1"/>
  <c r="I9" i="1"/>
  <c r="I10" i="1"/>
  <c r="I11" i="1"/>
  <c r="I12" i="1"/>
  <c r="I4" i="1"/>
  <c r="I3" i="1"/>
  <c r="AK51" i="1"/>
  <c r="AK52" i="1" s="1"/>
  <c r="AQ97" i="1"/>
  <c r="AQ98" i="1" s="1"/>
  <c r="AQ99" i="1" s="1"/>
  <c r="AQ100" i="1" s="1"/>
  <c r="AQ101" i="1" s="1"/>
  <c r="AQ102" i="1" s="1"/>
  <c r="AQ103" i="1" s="1"/>
  <c r="AQ104" i="1" s="1"/>
  <c r="AQ105" i="1" s="1"/>
  <c r="AQ106" i="1" s="1"/>
  <c r="AQ107" i="1" s="1"/>
  <c r="AQ108" i="1" s="1"/>
  <c r="AQ109" i="1" s="1"/>
  <c r="AQ110" i="1" s="1"/>
  <c r="AQ111" i="1" s="1"/>
  <c r="CS7" i="1"/>
  <c r="CS8" i="1" s="1"/>
  <c r="CQ78" i="1"/>
  <c r="BF9" i="1"/>
  <c r="BL9" i="1" s="1"/>
  <c r="CD12" i="1"/>
  <c r="CE12" i="1"/>
  <c r="CF12" i="1"/>
  <c r="CI12" i="1"/>
  <c r="CL12" i="1"/>
  <c r="BK15" i="1"/>
  <c r="B16" i="1"/>
  <c r="BK18" i="1"/>
  <c r="BO18" i="1" s="1"/>
  <c r="BL18" i="1"/>
  <c r="BP18" i="1" s="1"/>
  <c r="BN18" i="1"/>
  <c r="BL21" i="1"/>
  <c r="BN21" i="1" s="1"/>
  <c r="BP21" i="1"/>
  <c r="B24" i="1"/>
  <c r="BQ24" i="1"/>
  <c r="BS24" i="1" s="1"/>
  <c r="BU24" i="1" s="1"/>
  <c r="B27" i="1"/>
  <c r="BR27" i="1"/>
  <c r="BV27" i="1" s="1"/>
  <c r="BT27" i="1"/>
  <c r="CI27" i="1"/>
  <c r="CJ27" i="1" s="1"/>
  <c r="CK27" i="1" s="1"/>
  <c r="B29" i="1"/>
  <c r="BK39" i="1"/>
  <c r="BQ30" i="1" s="1"/>
  <c r="BR30" i="1"/>
  <c r="B31" i="1"/>
  <c r="BK42" i="1"/>
  <c r="BM60" i="1" s="1"/>
  <c r="AI51" i="1"/>
  <c r="AI52" i="1" s="1"/>
  <c r="AI53" i="1" s="1"/>
  <c r="AI54" i="1" s="1"/>
  <c r="AI55" i="1" s="1"/>
  <c r="AI56" i="1" s="1"/>
  <c r="AI57" i="1" s="1"/>
  <c r="AI58" i="1" s="1"/>
  <c r="AI59" i="1" s="1"/>
  <c r="AI60" i="1" s="1"/>
  <c r="AI61" i="1" s="1"/>
  <c r="AJ51" i="1"/>
  <c r="AJ52" i="1" s="1"/>
  <c r="AJ53" i="1"/>
  <c r="AJ54" i="1"/>
  <c r="AJ55" i="1" s="1"/>
  <c r="AJ56" i="1" s="1"/>
  <c r="AJ57" i="1" s="1"/>
  <c r="AJ58" i="1" s="1"/>
  <c r="AJ59" i="1" s="1"/>
  <c r="AJ60" i="1" s="1"/>
  <c r="AJ61" i="1" s="1"/>
  <c r="BR39" i="1"/>
  <c r="BT39" i="1" s="1"/>
  <c r="CL39" i="1"/>
  <c r="CM66" i="1" s="1"/>
  <c r="AK53" i="1"/>
  <c r="AK54" i="1" s="1"/>
  <c r="AK55" i="1" s="1"/>
  <c r="AK56" i="1" s="1"/>
  <c r="AK57" i="1" s="1"/>
  <c r="AK58" i="1" s="1"/>
  <c r="AK59" i="1" s="1"/>
  <c r="AK60" i="1" s="1"/>
  <c r="AK61" i="1" s="1"/>
  <c r="DV109" i="1"/>
  <c r="DX109" i="1"/>
  <c r="BR42" i="1"/>
  <c r="CI45" i="1"/>
  <c r="CJ75" i="1" s="1"/>
  <c r="CD48" i="1"/>
  <c r="CF48" i="1"/>
  <c r="CG66" i="1" s="1"/>
  <c r="DV118" i="1"/>
  <c r="BL51" i="1"/>
  <c r="BL54" i="1"/>
  <c r="BS54" i="1"/>
  <c r="CJ57" i="1" s="1"/>
  <c r="CK57" i="1" s="1"/>
  <c r="DV124" i="1"/>
  <c r="BM57" i="1"/>
  <c r="DV130" i="1"/>
  <c r="DX130" i="1"/>
  <c r="BS63" i="1"/>
  <c r="BU63" i="1" s="1"/>
  <c r="DV133" i="1"/>
  <c r="BT66" i="1"/>
  <c r="BV66" i="1"/>
  <c r="CE66" i="1"/>
  <c r="CK105" i="1" s="1"/>
  <c r="AQ95" i="1"/>
  <c r="AQ94" i="1"/>
  <c r="AQ93" i="1" s="1"/>
  <c r="AQ92" i="1" s="1"/>
  <c r="AQ91" i="1" s="1"/>
  <c r="AQ90" i="1" s="1"/>
  <c r="AQ89" i="1" s="1"/>
  <c r="AQ88" i="1" s="1"/>
  <c r="AQ87" i="1" s="1"/>
  <c r="AQ86" i="1" s="1"/>
  <c r="AQ85" i="1" s="1"/>
  <c r="AQ84" i="1" s="1"/>
  <c r="AQ83" i="1" s="1"/>
  <c r="AQ82" i="1" s="1"/>
  <c r="AQ81" i="1" s="1"/>
  <c r="BT69" i="1"/>
  <c r="BV69" i="1" s="1"/>
  <c r="BO75" i="1"/>
  <c r="BN78" i="1"/>
  <c r="BO78" i="1"/>
  <c r="BT78" i="1"/>
  <c r="BV78" i="1" s="1"/>
  <c r="BN81" i="1"/>
  <c r="BT81" i="1"/>
  <c r="BV81" i="1" s="1"/>
  <c r="CH84" i="1"/>
  <c r="CK87" i="1"/>
  <c r="CK96" i="1"/>
  <c r="BP105" i="1"/>
  <c r="BV105" i="1"/>
  <c r="BP108" i="1"/>
  <c r="BV117" i="1"/>
  <c r="CJ66" i="1"/>
  <c r="CK66" i="1" s="1"/>
  <c r="CN93" i="1"/>
  <c r="CF42" i="1"/>
  <c r="CH78" i="1" s="1"/>
  <c r="CS9" i="1"/>
  <c r="CF21" i="1"/>
  <c r="CH21" i="1" s="1"/>
  <c r="AK119" i="1"/>
  <c r="AK120" i="1" s="1"/>
  <c r="AK121" i="1" s="1"/>
  <c r="AK122" i="1" s="1"/>
  <c r="AK123" i="1" s="1"/>
  <c r="AK124" i="1" s="1"/>
  <c r="AK125" i="1" s="1"/>
  <c r="AK126" i="1"/>
  <c r="AK127" i="1" s="1"/>
  <c r="AK128" i="1" s="1"/>
  <c r="AK129" i="1" s="1"/>
  <c r="CG21" i="1"/>
  <c r="R301" i="3" l="1"/>
  <c r="R263" i="3"/>
  <c r="R239" i="3"/>
  <c r="R129" i="3"/>
  <c r="R162" i="3"/>
  <c r="R155" i="3"/>
  <c r="R71" i="3"/>
  <c r="R38" i="3"/>
  <c r="R470" i="3"/>
  <c r="R438" i="3"/>
  <c r="R428" i="3"/>
  <c r="R297" i="3"/>
  <c r="R266" i="3"/>
  <c r="R253" i="3"/>
  <c r="R228" i="3"/>
  <c r="R202" i="3"/>
  <c r="R191" i="3"/>
  <c r="R180" i="3"/>
  <c r="R169" i="3"/>
  <c r="R158" i="3"/>
  <c r="R151" i="3"/>
  <c r="R147" i="3"/>
  <c r="R125" i="3"/>
  <c r="R118" i="3"/>
  <c r="R114" i="3"/>
  <c r="R107" i="3"/>
  <c r="R74" i="3"/>
  <c r="R63" i="3"/>
  <c r="R484" i="3"/>
  <c r="R452" i="3"/>
  <c r="R420" i="3"/>
  <c r="R409" i="3"/>
  <c r="R375" i="3"/>
  <c r="R293" i="3"/>
  <c r="R291" i="3"/>
  <c r="R249" i="3"/>
  <c r="R231" i="3"/>
  <c r="R224" i="3"/>
  <c r="R220" i="3"/>
  <c r="R205" i="3"/>
  <c r="R198" i="3"/>
  <c r="R194" i="3"/>
  <c r="R187" i="3"/>
  <c r="R154" i="3"/>
  <c r="R143" i="3"/>
  <c r="R132" i="3"/>
  <c r="R121" i="3"/>
  <c r="R110" i="3"/>
  <c r="R103" i="3"/>
  <c r="R77" i="3"/>
  <c r="R70" i="3"/>
  <c r="R66" i="3"/>
  <c r="R246" i="3"/>
  <c r="R441" i="3"/>
  <c r="R227" i="3"/>
  <c r="R216" i="3"/>
  <c r="R201" i="3"/>
  <c r="R190" i="3"/>
  <c r="R183" i="3"/>
  <c r="R179" i="3"/>
  <c r="R157" i="3"/>
  <c r="R150" i="3"/>
  <c r="R146" i="3"/>
  <c r="R139" i="3"/>
  <c r="R106" i="3"/>
  <c r="R95" i="3"/>
  <c r="R84" i="3"/>
  <c r="R73" i="3"/>
  <c r="R62" i="3"/>
  <c r="R59" i="3"/>
  <c r="R186" i="3"/>
  <c r="R149" i="3"/>
  <c r="R145" i="3"/>
  <c r="R109" i="3"/>
  <c r="R486" i="3"/>
  <c r="R400" i="3"/>
  <c r="R181" i="3"/>
  <c r="R177" i="3"/>
  <c r="R163" i="3"/>
  <c r="R141" i="3"/>
  <c r="R134" i="3"/>
  <c r="R130" i="3"/>
  <c r="R123" i="3"/>
  <c r="R90" i="3"/>
  <c r="R79" i="3"/>
  <c r="R68" i="3"/>
  <c r="R248" i="3"/>
  <c r="CV19" i="1"/>
  <c r="GJ16" i="1"/>
  <c r="GJ18" i="1" s="1"/>
  <c r="DZ34" i="1"/>
  <c r="CQ93" i="1"/>
  <c r="CQ94" i="1" s="1"/>
  <c r="DF94" i="1" s="1"/>
  <c r="FD16" i="1"/>
  <c r="DZ16" i="1"/>
  <c r="DZ17" i="1" s="1"/>
  <c r="DZ13" i="1"/>
  <c r="FH16" i="1"/>
  <c r="DZ19" i="1"/>
  <c r="FV16" i="1"/>
  <c r="DK13" i="1"/>
  <c r="CV16" i="1"/>
  <c r="DK16" i="1"/>
  <c r="DZ31" i="1"/>
  <c r="DZ32" i="1" s="1"/>
  <c r="EA33" i="1" s="1"/>
  <c r="AV47" i="1"/>
  <c r="AV48" i="1" s="1"/>
  <c r="EO18" i="1" s="1"/>
  <c r="AI132" i="1"/>
  <c r="FR16" i="1"/>
  <c r="GF16" i="1"/>
  <c r="DZ37" i="1"/>
  <c r="GF43" i="1"/>
  <c r="AI64" i="1"/>
  <c r="GJ43" i="1"/>
  <c r="GJ44" i="1" s="1"/>
  <c r="CV13" i="1"/>
  <c r="EU40" i="1" s="1"/>
  <c r="EU41" i="1" s="1"/>
  <c r="CQ87" i="1"/>
  <c r="CQ88" i="1" s="1"/>
  <c r="DK19" i="1"/>
  <c r="AM118" i="1"/>
  <c r="AL119" i="1"/>
  <c r="AL120" i="1" s="1"/>
  <c r="AL121" i="1" s="1"/>
  <c r="AL122" i="1" s="1"/>
  <c r="AL123" i="1" s="1"/>
  <c r="AL124" i="1" s="1"/>
  <c r="AL125" i="1" s="1"/>
  <c r="AL126" i="1" s="1"/>
  <c r="AL127" i="1" s="1"/>
  <c r="AL128" i="1" s="1"/>
  <c r="AL129" i="1" s="1"/>
  <c r="CI33" i="1"/>
  <c r="CJ33" i="1" s="1"/>
  <c r="CK33" i="1" s="1"/>
  <c r="BS30" i="1"/>
  <c r="AM50" i="1"/>
  <c r="AL51" i="1"/>
  <c r="AL52" i="1" s="1"/>
  <c r="AL53" i="1" s="1"/>
  <c r="AL54" i="1" s="1"/>
  <c r="AL55" i="1" s="1"/>
  <c r="AL56" i="1" s="1"/>
  <c r="AL57" i="1" s="1"/>
  <c r="AL58" i="1" s="1"/>
  <c r="AL59" i="1" s="1"/>
  <c r="AL60" i="1" s="1"/>
  <c r="AL61" i="1" s="1"/>
  <c r="R482" i="3"/>
  <c r="R479" i="3"/>
  <c r="R466" i="3"/>
  <c r="R463" i="3"/>
  <c r="R450" i="3"/>
  <c r="R447" i="3"/>
  <c r="R434" i="3"/>
  <c r="R431" i="3"/>
  <c r="R418" i="3"/>
  <c r="R415" i="3"/>
  <c r="R402" i="3"/>
  <c r="R399" i="3"/>
  <c r="R388" i="3"/>
  <c r="R295" i="3"/>
  <c r="R287" i="3"/>
  <c r="R265" i="3"/>
  <c r="R30" i="3"/>
  <c r="R5" i="3"/>
  <c r="R478" i="3"/>
  <c r="R462" i="3"/>
  <c r="R446" i="3"/>
  <c r="R430" i="3"/>
  <c r="R414" i="3"/>
  <c r="R398" i="3"/>
  <c r="R387" i="3"/>
  <c r="R377" i="3"/>
  <c r="CF45" i="1"/>
  <c r="CT9" i="1"/>
  <c r="R392" i="3"/>
  <c r="R292" i="3"/>
  <c r="R487" i="3"/>
  <c r="R474" i="3"/>
  <c r="R471" i="3"/>
  <c r="R458" i="3"/>
  <c r="R455" i="3"/>
  <c r="R442" i="3"/>
  <c r="R439" i="3"/>
  <c r="R426" i="3"/>
  <c r="R423" i="3"/>
  <c r="R410" i="3"/>
  <c r="R407" i="3"/>
  <c r="R394" i="3"/>
  <c r="R376" i="3"/>
  <c r="R300" i="3"/>
  <c r="R237" i="3"/>
  <c r="R60" i="3"/>
  <c r="R213" i="3"/>
  <c r="BV39" i="1"/>
  <c r="BX9" i="1"/>
  <c r="R422" i="3"/>
  <c r="R406" i="3"/>
  <c r="R299" i="3"/>
  <c r="R37" i="3"/>
  <c r="CF18" i="1"/>
  <c r="BQ21" i="1"/>
  <c r="BM15" i="1"/>
  <c r="BO15" i="1"/>
  <c r="CQ79" i="1"/>
  <c r="BF12" i="1" s="1"/>
  <c r="DZ20" i="1"/>
  <c r="EA21" i="1"/>
  <c r="DZ21" i="1"/>
  <c r="BE9" i="1"/>
  <c r="CC9" i="1"/>
  <c r="FT25" i="1"/>
  <c r="FT19" i="1"/>
  <c r="FV22" i="1"/>
  <c r="FV17" i="1"/>
  <c r="FW18" i="1" s="1"/>
  <c r="FV18" i="1"/>
  <c r="BU30" i="1"/>
  <c r="BU60" i="1" s="1"/>
  <c r="BU90" i="1" s="1"/>
  <c r="CK93" i="1" s="1"/>
  <c r="BS60" i="1"/>
  <c r="CJ63" i="1" s="1"/>
  <c r="CK63" i="1" s="1"/>
  <c r="DZ36" i="1"/>
  <c r="DZ35" i="1"/>
  <c r="EA36" i="1" s="1"/>
  <c r="GH19" i="1"/>
  <c r="GJ17" i="1"/>
  <c r="GK18" i="1"/>
  <c r="BV42" i="1"/>
  <c r="BT42" i="1"/>
  <c r="GH25" i="1"/>
  <c r="CV15" i="1"/>
  <c r="CR25" i="1"/>
  <c r="EP40" i="1"/>
  <c r="GJ49" i="1"/>
  <c r="GH52" i="1"/>
  <c r="GJ22" i="1"/>
  <c r="CH12" i="1"/>
  <c r="CK12" i="1"/>
  <c r="CN12" i="1"/>
  <c r="AM119" i="1"/>
  <c r="AM120" i="1" s="1"/>
  <c r="AM121" i="1" s="1"/>
  <c r="AM122" i="1" s="1"/>
  <c r="AM123" i="1" s="1"/>
  <c r="AM124" i="1" s="1"/>
  <c r="AM125" i="1" s="1"/>
  <c r="AM126" i="1" s="1"/>
  <c r="AM127" i="1" s="1"/>
  <c r="AM128" i="1" s="1"/>
  <c r="AM129" i="1" s="1"/>
  <c r="AN118" i="1"/>
  <c r="CG12" i="1"/>
  <c r="CJ12" i="1"/>
  <c r="CM12" i="1"/>
  <c r="CG60" i="1"/>
  <c r="BT30" i="1"/>
  <c r="BV30" i="1"/>
  <c r="FR22" i="1"/>
  <c r="FR19" i="1"/>
  <c r="GF49" i="1"/>
  <c r="DZ33" i="1"/>
  <c r="DV43" i="1"/>
  <c r="DZ18" i="1"/>
  <c r="BQ33" i="1"/>
  <c r="BM18" i="1"/>
  <c r="BR9" i="1"/>
  <c r="BH9" i="1"/>
  <c r="BU54" i="1"/>
  <c r="EA18" i="1"/>
  <c r="R238" i="3"/>
  <c r="R115" i="3"/>
  <c r="R99" i="3"/>
  <c r="R83" i="3"/>
  <c r="R67" i="3"/>
  <c r="R475" i="3"/>
  <c r="R459" i="3"/>
  <c r="R443" i="3"/>
  <c r="R427" i="3"/>
  <c r="R411" i="3"/>
  <c r="R395" i="3"/>
  <c r="R290" i="3"/>
  <c r="R233" i="3"/>
  <c r="R217" i="3"/>
  <c r="R39" i="3"/>
  <c r="R483" i="3"/>
  <c r="R467" i="3"/>
  <c r="R451" i="3"/>
  <c r="R435" i="3"/>
  <c r="R419" i="3"/>
  <c r="R403" i="3"/>
  <c r="R296" i="3"/>
  <c r="R57" i="3"/>
  <c r="R391" i="3"/>
  <c r="R225" i="3"/>
  <c r="BJ75" i="1" l="1"/>
  <c r="BP84" i="1"/>
  <c r="BT63" i="1"/>
  <c r="BV63" i="1" s="1"/>
  <c r="BL30" i="1"/>
  <c r="CB111" i="1"/>
  <c r="CQ100" i="1"/>
  <c r="DF100" i="1" s="1"/>
  <c r="DU100" i="1" s="1"/>
  <c r="DU127" i="1" s="1"/>
  <c r="BN57" i="1"/>
  <c r="BV102" i="1"/>
  <c r="BP30" i="1"/>
  <c r="BF21" i="1"/>
  <c r="BN30" i="1"/>
  <c r="BH48" i="1"/>
  <c r="BJ48" i="1" s="1"/>
  <c r="BZ66" i="1"/>
  <c r="CB66" i="1" s="1"/>
  <c r="BP57" i="1"/>
  <c r="FF19" i="1"/>
  <c r="FF25" i="1"/>
  <c r="FH22" i="1"/>
  <c r="FH18" i="1"/>
  <c r="FH17" i="1"/>
  <c r="FI18" i="1" s="1"/>
  <c r="BQ18" i="1"/>
  <c r="BR24" i="1"/>
  <c r="DZ15" i="1"/>
  <c r="DZ14" i="1"/>
  <c r="EA15" i="1" s="1"/>
  <c r="AN50" i="1"/>
  <c r="AM51" i="1"/>
  <c r="AM52" i="1" s="1"/>
  <c r="AM53" i="1" s="1"/>
  <c r="AM54" i="1" s="1"/>
  <c r="AM55" i="1" s="1"/>
  <c r="AM56" i="1" s="1"/>
  <c r="AM57" i="1" s="1"/>
  <c r="AM58" i="1" s="1"/>
  <c r="AM59" i="1" s="1"/>
  <c r="AM60" i="1" s="1"/>
  <c r="AM61" i="1" s="1"/>
  <c r="AV62" i="1"/>
  <c r="AV69" i="1"/>
  <c r="AV68" i="1"/>
  <c r="DK17" i="1"/>
  <c r="DK18" i="1"/>
  <c r="DL18" i="1"/>
  <c r="FD22" i="1"/>
  <c r="FD25" i="1"/>
  <c r="FD18" i="1"/>
  <c r="FD19" i="1"/>
  <c r="FE18" i="1"/>
  <c r="FD17" i="1"/>
  <c r="CV14" i="1"/>
  <c r="CW15" i="1" s="1"/>
  <c r="GH46" i="1"/>
  <c r="EU42" i="1"/>
  <c r="S2" i="3"/>
  <c r="AK12" i="1" s="1"/>
  <c r="GJ45" i="1"/>
  <c r="EV42" i="1"/>
  <c r="DZ39" i="1"/>
  <c r="DZ38" i="1"/>
  <c r="EA39" i="1" s="1"/>
  <c r="DK15" i="1"/>
  <c r="DK14" i="1"/>
  <c r="DL15" i="1" s="1"/>
  <c r="DG25" i="1"/>
  <c r="DV25" i="1"/>
  <c r="GF44" i="1"/>
  <c r="GG45" i="1" s="1"/>
  <c r="GF45" i="1"/>
  <c r="GF46" i="1"/>
  <c r="CV17" i="1"/>
  <c r="CW18" i="1"/>
  <c r="CV18" i="1"/>
  <c r="GF52" i="1"/>
  <c r="GK45" i="1"/>
  <c r="CQ105" i="1"/>
  <c r="CQ106" i="1" s="1"/>
  <c r="BX57" i="1" s="1"/>
  <c r="CG63" i="1"/>
  <c r="CH81" i="1"/>
  <c r="GF18" i="1"/>
  <c r="GF22" i="1"/>
  <c r="GF25" i="1"/>
  <c r="GF19" i="1"/>
  <c r="GF17" i="1"/>
  <c r="GG18" i="1" s="1"/>
  <c r="DK21" i="1"/>
  <c r="DK20" i="1"/>
  <c r="DL21" i="1" s="1"/>
  <c r="FS18" i="1"/>
  <c r="FR25" i="1"/>
  <c r="FR18" i="1"/>
  <c r="FR17" i="1"/>
  <c r="CV21" i="1"/>
  <c r="CV20" i="1"/>
  <c r="CW21" i="1" s="1"/>
  <c r="BS33" i="1"/>
  <c r="BU33" i="1" s="1"/>
  <c r="CI36" i="1"/>
  <c r="CJ36" i="1" s="1"/>
  <c r="CK36" i="1" s="1"/>
  <c r="GF53" i="1"/>
  <c r="GG54" i="1" s="1"/>
  <c r="GF54" i="1"/>
  <c r="GJ23" i="1"/>
  <c r="GK24" i="1" s="1"/>
  <c r="GJ24" i="1"/>
  <c r="FR20" i="1"/>
  <c r="FS21" i="1" s="1"/>
  <c r="FR21" i="1"/>
  <c r="DV44" i="1"/>
  <c r="DV45" i="1"/>
  <c r="DW45" i="1"/>
  <c r="FS24" i="1"/>
  <c r="FR24" i="1"/>
  <c r="FR23" i="1"/>
  <c r="AN119" i="1"/>
  <c r="AN120" i="1" s="1"/>
  <c r="AN121" i="1" s="1"/>
  <c r="AN122" i="1" s="1"/>
  <c r="AN123" i="1" s="1"/>
  <c r="AN124" i="1" s="1"/>
  <c r="AN125" i="1" s="1"/>
  <c r="AN126" i="1" s="1"/>
  <c r="AN127" i="1" s="1"/>
  <c r="AN128" i="1" s="1"/>
  <c r="AN129" i="1" s="1"/>
  <c r="AO118" i="1"/>
  <c r="FV24" i="1"/>
  <c r="FV23" i="1"/>
  <c r="FW24" i="1" s="1"/>
  <c r="BZ9" i="1"/>
  <c r="BN9" i="1"/>
  <c r="BT9" i="1"/>
  <c r="BJ9" i="1"/>
  <c r="BL12" i="1"/>
  <c r="BR12" i="1"/>
  <c r="BH12" i="1"/>
  <c r="BX12" i="1"/>
  <c r="GH47" i="1"/>
  <c r="GI48" i="1" s="1"/>
  <c r="GH48" i="1"/>
  <c r="BV93" i="1"/>
  <c r="BT54" i="1"/>
  <c r="BV54" i="1" s="1"/>
  <c r="BS42" i="1"/>
  <c r="BH66" i="1"/>
  <c r="BJ93" i="1"/>
  <c r="BZ102" i="1"/>
  <c r="BF39" i="1"/>
  <c r="CB147" i="1"/>
  <c r="GJ51" i="1"/>
  <c r="GJ50" i="1"/>
  <c r="GK51" i="1" s="1"/>
  <c r="FT21" i="1"/>
  <c r="FT20" i="1"/>
  <c r="FU21" i="1" s="1"/>
  <c r="EP42" i="1"/>
  <c r="EP41" i="1"/>
  <c r="EQ42" i="1" s="1"/>
  <c r="EP120" i="1"/>
  <c r="GH26" i="1"/>
  <c r="GI27" i="1" s="1"/>
  <c r="GH27" i="1"/>
  <c r="FT27" i="1"/>
  <c r="FT26" i="1"/>
  <c r="FU27" i="1" s="1"/>
  <c r="CR27" i="1"/>
  <c r="CR26" i="1"/>
  <c r="CS27" i="1"/>
  <c r="GF51" i="1"/>
  <c r="GG51" i="1"/>
  <c r="GF50" i="1"/>
  <c r="DV27" i="1"/>
  <c r="DW27" i="1"/>
  <c r="DV26" i="1"/>
  <c r="CF9" i="1"/>
  <c r="CD9" i="1"/>
  <c r="CL9" i="1"/>
  <c r="CE9" i="1"/>
  <c r="CI9" i="1"/>
  <c r="BS21" i="1"/>
  <c r="CI24" i="1"/>
  <c r="CJ24" i="1" s="1"/>
  <c r="CK24" i="1" s="1"/>
  <c r="DU94" i="1"/>
  <c r="GH54" i="1"/>
  <c r="GH53" i="1"/>
  <c r="GI54" i="1"/>
  <c r="GH20" i="1"/>
  <c r="GI21" i="1" s="1"/>
  <c r="GH21" i="1"/>
  <c r="BK9" i="1"/>
  <c r="BG9" i="1"/>
  <c r="BW9" i="1"/>
  <c r="BI9" i="1"/>
  <c r="BQ9" i="1"/>
  <c r="CG18" i="1"/>
  <c r="CH18" i="1"/>
  <c r="T2" i="3" l="1"/>
  <c r="S3" i="3" s="1"/>
  <c r="U3" i="3" s="1"/>
  <c r="V3" i="3" s="1"/>
  <c r="W3" i="3" s="1"/>
  <c r="AF3" i="1" s="1"/>
  <c r="U2" i="3"/>
  <c r="V2" i="3" s="1"/>
  <c r="W2" i="3" s="1"/>
  <c r="AF2" i="1" s="1"/>
  <c r="GF27" i="1"/>
  <c r="GF26" i="1"/>
  <c r="GG27" i="1" s="1"/>
  <c r="FF20" i="1"/>
  <c r="FG21" i="1" s="1"/>
  <c r="FF21" i="1"/>
  <c r="GF23" i="1"/>
  <c r="GG24" i="1"/>
  <c r="GF24" i="1"/>
  <c r="FR26" i="1"/>
  <c r="FS27" i="1"/>
  <c r="FR27" i="1"/>
  <c r="BT24" i="1"/>
  <c r="BV24" i="1"/>
  <c r="FD21" i="1"/>
  <c r="FD20" i="1"/>
  <c r="FE21" i="1" s="1"/>
  <c r="BS18" i="1"/>
  <c r="BU18" i="1" s="1"/>
  <c r="CI21" i="1"/>
  <c r="CJ21" i="1" s="1"/>
  <c r="CK21" i="1" s="1"/>
  <c r="BH21" i="1"/>
  <c r="BR21" i="1"/>
  <c r="BX21" i="1"/>
  <c r="FD27" i="1"/>
  <c r="FD26" i="1"/>
  <c r="FE27" i="1" s="1"/>
  <c r="FH24" i="1"/>
  <c r="FH23" i="1"/>
  <c r="FI24" i="1" s="1"/>
  <c r="GF48" i="1"/>
  <c r="GF47" i="1"/>
  <c r="GG48" i="1" s="1"/>
  <c r="BQ42" i="1"/>
  <c r="GF21" i="1"/>
  <c r="GF20" i="1"/>
  <c r="GG21" i="1" s="1"/>
  <c r="DG26" i="1"/>
  <c r="DH27" i="1" s="1"/>
  <c r="DG27" i="1"/>
  <c r="FD24" i="1"/>
  <c r="FD23" i="1"/>
  <c r="FE24" i="1" s="1"/>
  <c r="AN51" i="1"/>
  <c r="AN52" i="1" s="1"/>
  <c r="AN53" i="1" s="1"/>
  <c r="AN54" i="1" s="1"/>
  <c r="AN55" i="1" s="1"/>
  <c r="AN56" i="1" s="1"/>
  <c r="AN57" i="1" s="1"/>
  <c r="AN58" i="1" s="1"/>
  <c r="AN59" i="1" s="1"/>
  <c r="AN60" i="1" s="1"/>
  <c r="AN61" i="1" s="1"/>
  <c r="AO50" i="1"/>
  <c r="FF27" i="1"/>
  <c r="FF26" i="1"/>
  <c r="FG27" i="1" s="1"/>
  <c r="CJ45" i="1"/>
  <c r="CK45" i="1" s="1"/>
  <c r="CK75" i="1" s="1"/>
  <c r="BU42" i="1"/>
  <c r="BU72" i="1" s="1"/>
  <c r="DU121" i="1"/>
  <c r="BE27" i="1"/>
  <c r="BZ12" i="1"/>
  <c r="BT12" i="1"/>
  <c r="BJ12" i="1"/>
  <c r="AO119" i="1"/>
  <c r="AO120" i="1" s="1"/>
  <c r="AO121" i="1" s="1"/>
  <c r="AO122" i="1" s="1"/>
  <c r="AO123" i="1" s="1"/>
  <c r="AO124" i="1" s="1"/>
  <c r="AO125" i="1" s="1"/>
  <c r="AO126" i="1" s="1"/>
  <c r="AO127" i="1" s="1"/>
  <c r="AO128" i="1" s="1"/>
  <c r="AO129" i="1" s="1"/>
  <c r="AP118" i="1"/>
  <c r="CK9" i="1"/>
  <c r="CN9" i="1"/>
  <c r="CH9" i="1"/>
  <c r="CA9" i="1"/>
  <c r="BU9" i="1"/>
  <c r="BO9" i="1"/>
  <c r="CJ9" i="1"/>
  <c r="CM9" i="1"/>
  <c r="CG9" i="1"/>
  <c r="BI45" i="1"/>
  <c r="BO54" i="1" s="1"/>
  <c r="EO121" i="1"/>
  <c r="EP121" i="1"/>
  <c r="BY9" i="1"/>
  <c r="BM9" i="1"/>
  <c r="BS9" i="1"/>
  <c r="BS51" i="1"/>
  <c r="CJ54" i="1" s="1"/>
  <c r="CK54" i="1" s="1"/>
  <c r="BU21" i="1"/>
  <c r="BU51" i="1" s="1"/>
  <c r="BU81" i="1" s="1"/>
  <c r="CK84" i="1" s="1"/>
  <c r="DU106" i="1"/>
  <c r="BI27" i="1"/>
  <c r="CI48" i="1"/>
  <c r="CJ78" i="1" s="1"/>
  <c r="CK108" i="1" s="1"/>
  <c r="BS72" i="1"/>
  <c r="BU102" i="1" s="1"/>
  <c r="BP12" i="1"/>
  <c r="BN12" i="1"/>
  <c r="BV9" i="1"/>
  <c r="CB9" i="1"/>
  <c r="BP9" i="1"/>
  <c r="C24" i="1"/>
  <c r="AK15" i="1" s="1"/>
  <c r="C23" i="1"/>
  <c r="C22" i="1"/>
  <c r="AK13" i="1" s="1"/>
  <c r="AV39" i="1"/>
  <c r="AV40" i="1" s="1"/>
  <c r="AV41" i="1" s="1"/>
  <c r="T3" i="3" l="1"/>
  <c r="S4" i="3" s="1"/>
  <c r="AP50" i="1"/>
  <c r="AO51" i="1"/>
  <c r="AO52" i="1" s="1"/>
  <c r="AO53" i="1" s="1"/>
  <c r="AO54" i="1" s="1"/>
  <c r="AO55" i="1" s="1"/>
  <c r="AO56" i="1" s="1"/>
  <c r="AO57" i="1" s="1"/>
  <c r="AO58" i="1" s="1"/>
  <c r="AO59" i="1" s="1"/>
  <c r="AO60" i="1" s="1"/>
  <c r="AO61" i="1" s="1"/>
  <c r="BX45" i="1"/>
  <c r="BZ45" i="1" s="1"/>
  <c r="CB45" i="1" s="1"/>
  <c r="BZ90" i="1"/>
  <c r="CB90" i="1" s="1"/>
  <c r="CB135" i="1"/>
  <c r="BZ21" i="1"/>
  <c r="BT21" i="1"/>
  <c r="BJ21" i="1"/>
  <c r="BZ78" i="1"/>
  <c r="CB78" i="1" s="1"/>
  <c r="BX33" i="1"/>
  <c r="BZ33" i="1" s="1"/>
  <c r="CB33" i="1" s="1"/>
  <c r="CB123" i="1"/>
  <c r="CB129" i="1"/>
  <c r="BX39" i="1"/>
  <c r="BZ39" i="1" s="1"/>
  <c r="CB39" i="1" s="1"/>
  <c r="BZ84" i="1"/>
  <c r="CB84" i="1" s="1"/>
  <c r="BG27" i="1"/>
  <c r="DF106" i="1"/>
  <c r="BI63" i="1"/>
  <c r="BG45" i="1"/>
  <c r="CC33" i="1"/>
  <c r="BW36" i="1"/>
  <c r="BV132" i="1"/>
  <c r="BT93" i="1"/>
  <c r="BR54" i="1"/>
  <c r="BP48" i="1"/>
  <c r="BJ39" i="1"/>
  <c r="DU133" i="1"/>
  <c r="AQ75" i="1"/>
  <c r="AV4" i="1"/>
  <c r="CA63" i="1"/>
  <c r="CA36" i="1"/>
  <c r="BO36" i="1"/>
  <c r="AP119" i="1"/>
  <c r="AP120" i="1" s="1"/>
  <c r="AP121" i="1" s="1"/>
  <c r="AP122" i="1" s="1"/>
  <c r="AP123" i="1" s="1"/>
  <c r="AP124" i="1" s="1"/>
  <c r="AP125" i="1" s="1"/>
  <c r="AP126" i="1" s="1"/>
  <c r="AP127" i="1" s="1"/>
  <c r="AP128" i="1" s="1"/>
  <c r="AP129" i="1" s="1"/>
  <c r="AQ118" i="1"/>
  <c r="AL12" i="1"/>
  <c r="AI65" i="1"/>
  <c r="AK65" i="1" s="1"/>
  <c r="AW62" i="1"/>
  <c r="AV57" i="1"/>
  <c r="AW68" i="1"/>
  <c r="AW63" i="1"/>
  <c r="AI133" i="1"/>
  <c r="AK133" i="1" s="1"/>
  <c r="AW69" i="1"/>
  <c r="AW70" i="1"/>
  <c r="C29" i="1"/>
  <c r="T4" i="3"/>
  <c r="S5" i="3" s="1"/>
  <c r="U4" i="3"/>
  <c r="V4" i="3" s="1"/>
  <c r="W4" i="3" s="1"/>
  <c r="AF4" i="1" s="1"/>
  <c r="CB12" i="1"/>
  <c r="BV12" i="1"/>
  <c r="BV21" i="1" l="1"/>
  <c r="CB21" i="1"/>
  <c r="BZ57" i="1"/>
  <c r="CB57" i="1" s="1"/>
  <c r="BN48" i="1"/>
  <c r="CB102" i="1"/>
  <c r="BH39" i="1"/>
  <c r="CD30" i="1"/>
  <c r="BY36" i="1"/>
  <c r="BM36" i="1"/>
  <c r="CE48" i="1"/>
  <c r="CH57" i="1" s="1"/>
  <c r="CE30" i="1"/>
  <c r="AP51" i="1"/>
  <c r="AP52" i="1" s="1"/>
  <c r="AP53" i="1" s="1"/>
  <c r="AP54" i="1" s="1"/>
  <c r="AP55" i="1" s="1"/>
  <c r="AP56" i="1" s="1"/>
  <c r="AP57" i="1" s="1"/>
  <c r="AP58" i="1" s="1"/>
  <c r="AP59" i="1" s="1"/>
  <c r="AP60" i="1" s="1"/>
  <c r="AP61" i="1" s="1"/>
  <c r="AQ50" i="1"/>
  <c r="FF16" i="1"/>
  <c r="CS81" i="1"/>
  <c r="CS82" i="1" s="1"/>
  <c r="FC31" i="1"/>
  <c r="CX19" i="1"/>
  <c r="CS22" i="1"/>
  <c r="CT13" i="1"/>
  <c r="CR19" i="1"/>
  <c r="CT19" i="1"/>
  <c r="CS10" i="1"/>
  <c r="CU10" i="1"/>
  <c r="CX16" i="1"/>
  <c r="CZ13" i="1"/>
  <c r="CU22" i="1"/>
  <c r="FA31" i="1"/>
  <c r="CR13" i="1"/>
  <c r="CQ90" i="1"/>
  <c r="CQ91" i="1" s="1"/>
  <c r="CQ81" i="1"/>
  <c r="CQ82" i="1" s="1"/>
  <c r="FB16" i="1"/>
  <c r="EZ16" i="1"/>
  <c r="U5" i="3"/>
  <c r="V5" i="3" s="1"/>
  <c r="W5" i="3" s="1"/>
  <c r="AF5" i="1" s="1"/>
  <c r="T5" i="3"/>
  <c r="S6" i="3" s="1"/>
  <c r="AV11" i="1"/>
  <c r="AV5" i="1"/>
  <c r="AV6" i="1" s="1"/>
  <c r="AV7" i="1" s="1"/>
  <c r="FT16" i="1"/>
  <c r="FQ31" i="1"/>
  <c r="DM16" i="1"/>
  <c r="DJ22" i="1"/>
  <c r="DJ10" i="1"/>
  <c r="DM19" i="1"/>
  <c r="FP16" i="1"/>
  <c r="DO13" i="1"/>
  <c r="DI13" i="1"/>
  <c r="DH22" i="1"/>
  <c r="DG13" i="1"/>
  <c r="DG19" i="1"/>
  <c r="DH10" i="1"/>
  <c r="FN16" i="1"/>
  <c r="DI19" i="1"/>
  <c r="FO31" i="1"/>
  <c r="CQ73" i="1"/>
  <c r="BF6" i="1" s="1"/>
  <c r="CQ6" i="1"/>
  <c r="AV42" i="1"/>
  <c r="AI67" i="1"/>
  <c r="AI66" i="1" s="1"/>
  <c r="AL65" i="1" s="1"/>
  <c r="AL68" i="1" s="1"/>
  <c r="AQ76" i="1"/>
  <c r="AQ77" i="1" s="1"/>
  <c r="AI134" i="1"/>
  <c r="AL133" i="1" s="1"/>
  <c r="AL136" i="1" s="1"/>
  <c r="BY63" i="1"/>
  <c r="CA90" i="1"/>
  <c r="BJ66" i="1"/>
  <c r="BP75" i="1"/>
  <c r="CD51" i="1"/>
  <c r="CL42" i="1"/>
  <c r="CE69" i="1"/>
  <c r="GH43" i="1"/>
  <c r="DV31" i="1"/>
  <c r="GD43" i="1"/>
  <c r="GE58" i="1"/>
  <c r="DX37" i="1"/>
  <c r="EB34" i="1"/>
  <c r="ED31" i="1"/>
  <c r="DW40" i="1"/>
  <c r="DY40" i="1"/>
  <c r="GB43" i="1"/>
  <c r="DX31" i="1"/>
  <c r="EB37" i="1"/>
  <c r="DW28" i="1"/>
  <c r="DV37" i="1"/>
  <c r="DY28" i="1"/>
  <c r="GC58" i="1"/>
  <c r="AR118" i="1"/>
  <c r="AR119" i="1" s="1"/>
  <c r="AR120" i="1" s="1"/>
  <c r="AR121" i="1" s="1"/>
  <c r="AR122" i="1" s="1"/>
  <c r="AR123" i="1" s="1"/>
  <c r="AR124" i="1" s="1"/>
  <c r="AR125" i="1" s="1"/>
  <c r="AR126" i="1" s="1"/>
  <c r="AR127" i="1" s="1"/>
  <c r="AR128" i="1" s="1"/>
  <c r="AR129" i="1" s="1"/>
  <c r="AQ119" i="1"/>
  <c r="AQ120" i="1" s="1"/>
  <c r="AQ121" i="1" s="1"/>
  <c r="AQ122" i="1" s="1"/>
  <c r="AQ123" i="1" s="1"/>
  <c r="AQ124" i="1" s="1"/>
  <c r="AQ125" i="1" s="1"/>
  <c r="AQ126" i="1" s="1"/>
  <c r="AQ127" i="1" s="1"/>
  <c r="AQ128" i="1" s="1"/>
  <c r="AQ129" i="1" s="1"/>
  <c r="DW10" i="1"/>
  <c r="DW22" i="1"/>
  <c r="EB19" i="1"/>
  <c r="ED13" i="1"/>
  <c r="GH16" i="1"/>
  <c r="GC31" i="1"/>
  <c r="DY10" i="1"/>
  <c r="DV19" i="1"/>
  <c r="DY22" i="1"/>
  <c r="GD16" i="1"/>
  <c r="GB16" i="1"/>
  <c r="DX19" i="1"/>
  <c r="GE31" i="1"/>
  <c r="DV13" i="1"/>
  <c r="DX13" i="1"/>
  <c r="EB16" i="1"/>
  <c r="CN39" i="1" l="1"/>
  <c r="CH39" i="1"/>
  <c r="CN66" i="1"/>
  <c r="CM39" i="1"/>
  <c r="CG39" i="1"/>
  <c r="AQ51" i="1"/>
  <c r="AQ52" i="1" s="1"/>
  <c r="AQ53" i="1" s="1"/>
  <c r="AQ54" i="1" s="1"/>
  <c r="AQ55" i="1" s="1"/>
  <c r="AQ56" i="1" s="1"/>
  <c r="AQ57" i="1" s="1"/>
  <c r="AQ58" i="1" s="1"/>
  <c r="AQ59" i="1" s="1"/>
  <c r="AQ60" i="1" s="1"/>
  <c r="AQ61" i="1" s="1"/>
  <c r="AR50" i="1"/>
  <c r="AR51" i="1" s="1"/>
  <c r="AR52" i="1" s="1"/>
  <c r="AR53" i="1" s="1"/>
  <c r="AR54" i="1" s="1"/>
  <c r="AR55" i="1" s="1"/>
  <c r="AR56" i="1" s="1"/>
  <c r="AR57" i="1" s="1"/>
  <c r="AR58" i="1" s="1"/>
  <c r="AR59" i="1" s="1"/>
  <c r="AR60" i="1" s="1"/>
  <c r="AR61" i="1" s="1"/>
  <c r="BN60" i="1"/>
  <c r="BJ78" i="1"/>
  <c r="BP87" i="1"/>
  <c r="BL33" i="1"/>
  <c r="BR33" i="1" s="1"/>
  <c r="BV111" i="1"/>
  <c r="BH51" i="1"/>
  <c r="BT72" i="1"/>
  <c r="BF24" i="1"/>
  <c r="DY24" i="1"/>
  <c r="DY23" i="1"/>
  <c r="DZ24" i="1" s="1"/>
  <c r="FO33" i="1"/>
  <c r="FO32" i="1"/>
  <c r="GV36" i="1" s="1"/>
  <c r="CR21" i="1"/>
  <c r="CR20" i="1"/>
  <c r="CS21" i="1" s="1"/>
  <c r="DV21" i="1"/>
  <c r="DV20" i="1"/>
  <c r="DW21" i="1" s="1"/>
  <c r="DY41" i="1"/>
  <c r="DZ42" i="1" s="1"/>
  <c r="DY42" i="1"/>
  <c r="GH44" i="1"/>
  <c r="GI45" i="1" s="1"/>
  <c r="GH45" i="1"/>
  <c r="CB69" i="1" s="1"/>
  <c r="FN18" i="1"/>
  <c r="FN17" i="1"/>
  <c r="GV21" i="1"/>
  <c r="FO18" i="1"/>
  <c r="DM21" i="1"/>
  <c r="DM20" i="1"/>
  <c r="DN21" i="1" s="1"/>
  <c r="T6" i="3"/>
  <c r="S7" i="3" s="1"/>
  <c r="U6" i="3"/>
  <c r="V6" i="3" s="1"/>
  <c r="W6" i="3" s="1"/>
  <c r="AF6" i="1" s="1"/>
  <c r="CU24" i="1"/>
  <c r="CU23" i="1"/>
  <c r="CV24" i="1"/>
  <c r="CS23" i="1"/>
  <c r="CT24" i="1" s="1"/>
  <c r="CS24" i="1"/>
  <c r="DI14" i="1"/>
  <c r="DJ15" i="1"/>
  <c r="DI15" i="1"/>
  <c r="CT21" i="1"/>
  <c r="CT20" i="1"/>
  <c r="CU21" i="1"/>
  <c r="DW11" i="1"/>
  <c r="GR15" i="1" s="1"/>
  <c r="DW12" i="1"/>
  <c r="DX32" i="1"/>
  <c r="DX33" i="1"/>
  <c r="DY33" i="1"/>
  <c r="GB45" i="1"/>
  <c r="GB44" i="1"/>
  <c r="GC45" i="1" s="1"/>
  <c r="DV32" i="1"/>
  <c r="DW33" i="1" s="1"/>
  <c r="DV33" i="1"/>
  <c r="DI21" i="1"/>
  <c r="DI20" i="1"/>
  <c r="DJ21" i="1" s="1"/>
  <c r="AV12" i="1"/>
  <c r="AV13" i="1" s="1"/>
  <c r="AV14" i="1" s="1"/>
  <c r="CT15" i="1"/>
  <c r="CT14" i="1"/>
  <c r="CU15" i="1" s="1"/>
  <c r="DX14" i="1"/>
  <c r="DY15" i="1" s="1"/>
  <c r="DX15" i="1"/>
  <c r="DY12" i="1"/>
  <c r="DW82" i="1" s="1"/>
  <c r="DY11" i="1"/>
  <c r="DZ12" i="1" s="1"/>
  <c r="DJ12" i="1"/>
  <c r="DH82" i="1" s="1"/>
  <c r="DJ11" i="1"/>
  <c r="DK12" i="1" s="1"/>
  <c r="CZ14" i="1"/>
  <c r="DA15" i="1" s="1"/>
  <c r="CZ15" i="1"/>
  <c r="CX21" i="1"/>
  <c r="CX20" i="1"/>
  <c r="CY21" i="1" s="1"/>
  <c r="BH6" i="1"/>
  <c r="BX6" i="1"/>
  <c r="BR6" i="1"/>
  <c r="BL6" i="1"/>
  <c r="GD45" i="1"/>
  <c r="GD44" i="1"/>
  <c r="GE45" i="1" s="1"/>
  <c r="GD46" i="1"/>
  <c r="GB46" i="1"/>
  <c r="DO15" i="1"/>
  <c r="DO14" i="1"/>
  <c r="DP15" i="1" s="1"/>
  <c r="EB18" i="1"/>
  <c r="EB17" i="1"/>
  <c r="EC18" i="1" s="1"/>
  <c r="FP17" i="1"/>
  <c r="FQ18" i="1" s="1"/>
  <c r="FP18" i="1"/>
  <c r="FN19" i="1"/>
  <c r="FP19" i="1"/>
  <c r="FA33" i="1"/>
  <c r="FA32" i="1"/>
  <c r="FB33" i="1" s="1"/>
  <c r="AP137" i="1"/>
  <c r="AO132" i="1"/>
  <c r="AO137" i="1"/>
  <c r="AO136" i="1"/>
  <c r="AN135" i="1"/>
  <c r="AN137" i="1" s="1"/>
  <c r="AQ137" i="1" s="1"/>
  <c r="AN133" i="1"/>
  <c r="AP134" i="1"/>
  <c r="AP136" i="1"/>
  <c r="AP133" i="1"/>
  <c r="AN134" i="1"/>
  <c r="AN136" i="1"/>
  <c r="AO134" i="1"/>
  <c r="AO133" i="1"/>
  <c r="AP132" i="1"/>
  <c r="AN132" i="1"/>
  <c r="AP135" i="1"/>
  <c r="AO135" i="1"/>
  <c r="DV14" i="1"/>
  <c r="DW15" i="1" s="1"/>
  <c r="DV15" i="1"/>
  <c r="GC33" i="1"/>
  <c r="GC32" i="1"/>
  <c r="GX36" i="1" s="1"/>
  <c r="GC59" i="1"/>
  <c r="GX63" i="1" s="1"/>
  <c r="GD60" i="1"/>
  <c r="GC60" i="1"/>
  <c r="DW41" i="1"/>
  <c r="DX42" i="1" s="1"/>
  <c r="DW42" i="1"/>
  <c r="DH11" i="1"/>
  <c r="DI12" i="1" s="1"/>
  <c r="DH12" i="1"/>
  <c r="GE32" i="1"/>
  <c r="GF33" i="1"/>
  <c r="GE33" i="1"/>
  <c r="GH17" i="1"/>
  <c r="GI18" i="1"/>
  <c r="GH18" i="1"/>
  <c r="CB24" i="1" s="1"/>
  <c r="DY29" i="1"/>
  <c r="DZ30" i="1" s="1"/>
  <c r="DY30" i="1"/>
  <c r="DW109" i="1" s="1"/>
  <c r="ED32" i="1"/>
  <c r="EE33" i="1" s="1"/>
  <c r="ED33" i="1"/>
  <c r="CN96" i="1"/>
  <c r="CM69" i="1"/>
  <c r="AO68" i="1"/>
  <c r="AO69" i="1" s="1"/>
  <c r="AQ69" i="1" s="1"/>
  <c r="AP66" i="1"/>
  <c r="AO64" i="1"/>
  <c r="AP67" i="1"/>
  <c r="AN66" i="1"/>
  <c r="AN68" i="1"/>
  <c r="AN69" i="1" s="1"/>
  <c r="AN64" i="1"/>
  <c r="AP64" i="1"/>
  <c r="AO65" i="1"/>
  <c r="AP65" i="1"/>
  <c r="AP68" i="1"/>
  <c r="AN67" i="1"/>
  <c r="AO67" i="1"/>
  <c r="AP69" i="1"/>
  <c r="AN65" i="1"/>
  <c r="AO66" i="1"/>
  <c r="DG20" i="1"/>
  <c r="DH21" i="1"/>
  <c r="DG21" i="1"/>
  <c r="DJ23" i="1"/>
  <c r="DK24" i="1" s="1"/>
  <c r="DJ24" i="1"/>
  <c r="EZ18" i="1"/>
  <c r="EZ17" i="1"/>
  <c r="FA18" i="1" s="1"/>
  <c r="CX18" i="1"/>
  <c r="CX17" i="1"/>
  <c r="CY18" i="1" s="1"/>
  <c r="FC33" i="1"/>
  <c r="FC32" i="1"/>
  <c r="FD33" i="1" s="1"/>
  <c r="GD18" i="1"/>
  <c r="GD17" i="1"/>
  <c r="GE18" i="1" s="1"/>
  <c r="GB19" i="1"/>
  <c r="GD19" i="1"/>
  <c r="GE59" i="1"/>
  <c r="GF60" i="1" s="1"/>
  <c r="GE60" i="1"/>
  <c r="FT17" i="1"/>
  <c r="FU18" i="1"/>
  <c r="FT18" i="1"/>
  <c r="BZ24" i="1" s="1"/>
  <c r="CR15" i="1"/>
  <c r="CR14" i="1"/>
  <c r="CS15" i="1" s="1"/>
  <c r="ED14" i="1"/>
  <c r="EE15" i="1" s="1"/>
  <c r="ED15" i="1"/>
  <c r="DV39" i="1"/>
  <c r="DV38" i="1"/>
  <c r="DW39" i="1"/>
  <c r="EB36" i="1"/>
  <c r="EB35" i="1"/>
  <c r="EC36" i="1" s="1"/>
  <c r="AZ8" i="1"/>
  <c r="AZ9" i="1"/>
  <c r="DG15" i="1"/>
  <c r="DH15" i="1"/>
  <c r="DG14" i="1"/>
  <c r="DM17" i="1"/>
  <c r="DN18" i="1"/>
  <c r="DM18" i="1"/>
  <c r="FB17" i="1"/>
  <c r="FC18" i="1" s="1"/>
  <c r="FB19" i="1"/>
  <c r="FB18" i="1"/>
  <c r="EZ19" i="1"/>
  <c r="CU12" i="1"/>
  <c r="CU11" i="1"/>
  <c r="CV12" i="1" s="1"/>
  <c r="CQ103" i="1"/>
  <c r="CS103" i="1"/>
  <c r="CQ97" i="1"/>
  <c r="DX24" i="1"/>
  <c r="DW24" i="1"/>
  <c r="DW23" i="1"/>
  <c r="EB39" i="1"/>
  <c r="EB38" i="1"/>
  <c r="EC39" i="1" s="1"/>
  <c r="EK34" i="1"/>
  <c r="EJ114" i="1"/>
  <c r="EJ115" i="1" s="1"/>
  <c r="DX21" i="1"/>
  <c r="DX20" i="1"/>
  <c r="DY21" i="1" s="1"/>
  <c r="GB17" i="1"/>
  <c r="GC18" i="1" s="1"/>
  <c r="GB18" i="1"/>
  <c r="EB20" i="1"/>
  <c r="EC21" i="1" s="1"/>
  <c r="EB21" i="1"/>
  <c r="DW29" i="1"/>
  <c r="DX30" i="1" s="1"/>
  <c r="GR33" i="1"/>
  <c r="DW30" i="1"/>
  <c r="DX38" i="1"/>
  <c r="DY39" i="1" s="1"/>
  <c r="DX39" i="1"/>
  <c r="CC6" i="1"/>
  <c r="BE6" i="1"/>
  <c r="DH24" i="1"/>
  <c r="DH23" i="1"/>
  <c r="DI24" i="1"/>
  <c r="FQ33" i="1"/>
  <c r="FQ32" i="1"/>
  <c r="FR33" i="1" s="1"/>
  <c r="CQ85" i="1"/>
  <c r="CS11" i="1"/>
  <c r="CT12" i="1" s="1"/>
  <c r="CS12" i="1"/>
  <c r="FF17" i="1"/>
  <c r="FG18" i="1" s="1"/>
  <c r="FF18" i="1"/>
  <c r="GT21" i="1" l="1"/>
  <c r="GT36" i="1"/>
  <c r="GP15" i="1"/>
  <c r="GN15" i="1"/>
  <c r="GX48" i="1"/>
  <c r="AQ139" i="1"/>
  <c r="AM23" i="1" s="1"/>
  <c r="AM24" i="1" s="1"/>
  <c r="AM25" i="1" s="1"/>
  <c r="AQ138" i="1"/>
  <c r="AQ71" i="1"/>
  <c r="AQ78" i="1" s="1"/>
  <c r="AQ70" i="1"/>
  <c r="BG15" i="1"/>
  <c r="CD18" i="1"/>
  <c r="FN21" i="1"/>
  <c r="FN20" i="1"/>
  <c r="FO21" i="1" s="1"/>
  <c r="FP22" i="1"/>
  <c r="FN22" i="1"/>
  <c r="BJ90" i="1"/>
  <c r="BP99" i="1"/>
  <c r="BH63" i="1"/>
  <c r="BL45" i="1"/>
  <c r="BN72" i="1"/>
  <c r="BV129" i="1"/>
  <c r="BT90" i="1"/>
  <c r="BF36" i="1"/>
  <c r="BR51" i="1"/>
  <c r="GB21" i="1"/>
  <c r="GB20" i="1"/>
  <c r="GX24" i="1" s="1"/>
  <c r="GB22" i="1"/>
  <c r="GD22" i="1"/>
  <c r="CM36" i="1"/>
  <c r="BY33" i="1"/>
  <c r="BZ54" i="1"/>
  <c r="DU109" i="1"/>
  <c r="GX21" i="1"/>
  <c r="DF91" i="1"/>
  <c r="CE45" i="1"/>
  <c r="BI42" i="1"/>
  <c r="CB54" i="1"/>
  <c r="CN36" i="1"/>
  <c r="GB47" i="1"/>
  <c r="GX51" i="1" s="1"/>
  <c r="GB49" i="1"/>
  <c r="GB48" i="1"/>
  <c r="GD49" i="1"/>
  <c r="BJ6" i="1"/>
  <c r="BZ6" i="1"/>
  <c r="BN6" i="1"/>
  <c r="BT6" i="1"/>
  <c r="CE36" i="1"/>
  <c r="BI33" i="1"/>
  <c r="FP33" i="1"/>
  <c r="BL48" i="1"/>
  <c r="BP102" i="1"/>
  <c r="BN75" i="1"/>
  <c r="FB20" i="1"/>
  <c r="FC21" i="1" s="1"/>
  <c r="FB21" i="1"/>
  <c r="FH19" i="1"/>
  <c r="BG24" i="1"/>
  <c r="CD27" i="1"/>
  <c r="DU118" i="1"/>
  <c r="BE15" i="1"/>
  <c r="CC18" i="1"/>
  <c r="GJ19" i="1"/>
  <c r="GD20" i="1"/>
  <c r="GE21" i="1"/>
  <c r="GD21" i="1"/>
  <c r="DF97" i="1"/>
  <c r="DF103" i="1"/>
  <c r="DH103" i="1"/>
  <c r="GD33" i="1"/>
  <c r="CA33" i="1" s="1"/>
  <c r="CB144" i="1"/>
  <c r="CL36" i="1"/>
  <c r="BZ99" i="1"/>
  <c r="BW33" i="1"/>
  <c r="BX54" i="1"/>
  <c r="DX12" i="1"/>
  <c r="T7" i="3"/>
  <c r="S8" i="3" s="1"/>
  <c r="U7" i="3"/>
  <c r="V7" i="3" s="1"/>
  <c r="W7" i="3" s="1"/>
  <c r="AF7" i="1" s="1"/>
  <c r="BN66" i="1"/>
  <c r="BL39" i="1"/>
  <c r="BT84" i="1"/>
  <c r="BF30" i="1"/>
  <c r="BX48" i="1"/>
  <c r="BP93" i="1"/>
  <c r="BV123" i="1"/>
  <c r="BZ93" i="1"/>
  <c r="BJ84" i="1"/>
  <c r="CB138" i="1"/>
  <c r="BR45" i="1"/>
  <c r="BH57" i="1"/>
  <c r="FP20" i="1"/>
  <c r="FV19" i="1"/>
  <c r="FP21" i="1"/>
  <c r="FQ21" i="1"/>
  <c r="EK35" i="1"/>
  <c r="EL36" i="1" s="1"/>
  <c r="EK36" i="1"/>
  <c r="GD48" i="1"/>
  <c r="GD47" i="1"/>
  <c r="GE48" i="1" s="1"/>
  <c r="GJ46" i="1"/>
  <c r="DU82" i="1"/>
  <c r="BG6" i="1"/>
  <c r="BK6" i="1"/>
  <c r="BW6" i="1"/>
  <c r="BI6" i="1"/>
  <c r="BQ6" i="1"/>
  <c r="BX24" i="1"/>
  <c r="BZ69" i="1"/>
  <c r="CB114" i="1"/>
  <c r="BJ72" i="1"/>
  <c r="BV99" i="1"/>
  <c r="BZ63" i="1"/>
  <c r="BF18" i="1"/>
  <c r="BP81" i="1"/>
  <c r="BH45" i="1"/>
  <c r="BN54" i="1"/>
  <c r="BL27" i="1"/>
  <c r="CB108" i="1"/>
  <c r="BT60" i="1"/>
  <c r="CF6" i="1"/>
  <c r="CL6" i="1"/>
  <c r="CI6" i="1"/>
  <c r="CD6" i="1"/>
  <c r="CE6" i="1"/>
  <c r="BI24" i="1"/>
  <c r="CE27" i="1"/>
  <c r="EZ20" i="1"/>
  <c r="FA21" i="1" s="1"/>
  <c r="EZ21" i="1"/>
  <c r="EZ22" i="1"/>
  <c r="GT24" i="1"/>
  <c r="FB22" i="1"/>
  <c r="DW130" i="1"/>
  <c r="DU124" i="1"/>
  <c r="DU130" i="1"/>
  <c r="AV9" i="1"/>
  <c r="AV15" i="1"/>
  <c r="AV16" i="1" s="1"/>
  <c r="AV17" i="1" s="1"/>
  <c r="AV18" i="1" s="1"/>
  <c r="AV19" i="1" s="1"/>
  <c r="CC27" i="1"/>
  <c r="BE24" i="1"/>
  <c r="DF82" i="1"/>
  <c r="CA60" i="1"/>
  <c r="CB99" i="1"/>
  <c r="CN63" i="1"/>
  <c r="CE18" i="1"/>
  <c r="BI15" i="1"/>
  <c r="DU91" i="1"/>
  <c r="DW103" i="1"/>
  <c r="DU103" i="1"/>
  <c r="DU97" i="1"/>
  <c r="GC48" i="1" l="1"/>
  <c r="GV24" i="1"/>
  <c r="BI60" i="1"/>
  <c r="BK33" i="1"/>
  <c r="BQ39" i="1"/>
  <c r="BG42" i="1"/>
  <c r="CJ18" i="1"/>
  <c r="CM18" i="1"/>
  <c r="CG27" i="1"/>
  <c r="BV51" i="1"/>
  <c r="BP45" i="1"/>
  <c r="BJ36" i="1"/>
  <c r="EK43" i="1"/>
  <c r="AX7" i="1"/>
  <c r="AZ7" i="1" s="1"/>
  <c r="EK123" i="1"/>
  <c r="EJ82" i="1"/>
  <c r="BL15" i="1" s="1"/>
  <c r="EJ12" i="1"/>
  <c r="BK12" i="1" s="1"/>
  <c r="C28" i="1"/>
  <c r="BX18" i="1"/>
  <c r="BR18" i="1"/>
  <c r="CA6" i="1"/>
  <c r="BO6" i="1"/>
  <c r="BU6" i="1"/>
  <c r="FV21" i="1"/>
  <c r="BZ30" i="1" s="1"/>
  <c r="FV20" i="1"/>
  <c r="FW21" i="1" s="1"/>
  <c r="BS39" i="1"/>
  <c r="BM33" i="1"/>
  <c r="GD50" i="1"/>
  <c r="GE51" i="1" s="1"/>
  <c r="GD51" i="1"/>
  <c r="GB52" i="1"/>
  <c r="GD52" i="1"/>
  <c r="BU69" i="1"/>
  <c r="BO51" i="1"/>
  <c r="BH24" i="1"/>
  <c r="BT33" i="1"/>
  <c r="BN33" i="1"/>
  <c r="GC21" i="1"/>
  <c r="FP24" i="1"/>
  <c r="FN25" i="1"/>
  <c r="FP25" i="1"/>
  <c r="FP23" i="1"/>
  <c r="FQ24" i="1" s="1"/>
  <c r="BM24" i="1"/>
  <c r="BS15" i="1"/>
  <c r="BY15" i="1"/>
  <c r="FB24" i="1"/>
  <c r="FB25" i="1"/>
  <c r="FB23" i="1"/>
  <c r="FC24" i="1"/>
  <c r="EZ25" i="1"/>
  <c r="CN6" i="1"/>
  <c r="CH6" i="1"/>
  <c r="CK6" i="1"/>
  <c r="BH30" i="1"/>
  <c r="BZ48" i="1"/>
  <c r="BN39" i="1"/>
  <c r="BT45" i="1"/>
  <c r="CE63" i="1"/>
  <c r="CD45" i="1"/>
  <c r="CI42" i="1"/>
  <c r="CF36" i="1"/>
  <c r="CJ6" i="1"/>
  <c r="CG6" i="1"/>
  <c r="CM6" i="1"/>
  <c r="CB48" i="1"/>
  <c r="BP39" i="1"/>
  <c r="BJ30" i="1"/>
  <c r="BV45" i="1"/>
  <c r="FF22" i="1"/>
  <c r="EZ23" i="1"/>
  <c r="FA24" i="1" s="1"/>
  <c r="GT27" i="1"/>
  <c r="EZ24" i="1"/>
  <c r="GJ48" i="1"/>
  <c r="CB75" i="1" s="1"/>
  <c r="GJ47" i="1"/>
  <c r="GK48" i="1" s="1"/>
  <c r="CN51" i="1" s="1"/>
  <c r="CJ42" i="1"/>
  <c r="CG36" i="1"/>
  <c r="FN24" i="1"/>
  <c r="FT22" i="1"/>
  <c r="FN23" i="1"/>
  <c r="FO24" i="1" s="1"/>
  <c r="GV27" i="1"/>
  <c r="BV90" i="1"/>
  <c r="BJ63" i="1"/>
  <c r="BP72" i="1"/>
  <c r="U8" i="3"/>
  <c r="V8" i="3" s="1"/>
  <c r="W8" i="3" s="1"/>
  <c r="AF8" i="1" s="1"/>
  <c r="T8" i="3"/>
  <c r="S9" i="3" s="1"/>
  <c r="GJ21" i="1"/>
  <c r="CB30" i="1" s="1"/>
  <c r="GJ20" i="1"/>
  <c r="GK21" i="1"/>
  <c r="FH20" i="1"/>
  <c r="FI21" i="1" s="1"/>
  <c r="FH21" i="1"/>
  <c r="BO42" i="1"/>
  <c r="BU48" i="1"/>
  <c r="CA42" i="1"/>
  <c r="CK72" i="1"/>
  <c r="CH54" i="1"/>
  <c r="GD24" i="1"/>
  <c r="GB25" i="1"/>
  <c r="GD25" i="1"/>
  <c r="GD23" i="1"/>
  <c r="GE24" i="1" s="1"/>
  <c r="AL23" i="1"/>
  <c r="AL24" i="1" s="1"/>
  <c r="AL25" i="1" s="1"/>
  <c r="AV28" i="1"/>
  <c r="AV30" i="1" s="1"/>
  <c r="C27" i="1" s="1"/>
  <c r="AL29" i="1" s="1"/>
  <c r="BU15" i="1"/>
  <c r="BO24" i="1"/>
  <c r="CA15" i="1"/>
  <c r="DU85" i="1"/>
  <c r="BP66" i="1"/>
  <c r="BV84" i="1"/>
  <c r="BJ57" i="1"/>
  <c r="CB93" i="1"/>
  <c r="CF27" i="1"/>
  <c r="CI18" i="1"/>
  <c r="CD36" i="1"/>
  <c r="CE54" i="1"/>
  <c r="CL18" i="1"/>
  <c r="BV72" i="1"/>
  <c r="BJ51" i="1"/>
  <c r="BP60" i="1"/>
  <c r="GB50" i="1"/>
  <c r="GX54" i="1" s="1"/>
  <c r="GB51" i="1"/>
  <c r="GH49" i="1"/>
  <c r="GH22" i="1"/>
  <c r="GB23" i="1"/>
  <c r="GC24" i="1" s="1"/>
  <c r="GB24" i="1"/>
  <c r="CK42" i="1"/>
  <c r="CH36" i="1"/>
  <c r="BS6" i="1"/>
  <c r="BM6" i="1"/>
  <c r="BY6" i="1"/>
  <c r="BK36" i="1"/>
  <c r="BQ15" i="1"/>
  <c r="BW15" i="1"/>
  <c r="BK24" i="1"/>
  <c r="BI51" i="1"/>
  <c r="BG33" i="1"/>
  <c r="DU112" i="1"/>
  <c r="CH27" i="1"/>
  <c r="CK18" i="1"/>
  <c r="CN18" i="1"/>
  <c r="CM63" i="1"/>
  <c r="CN90" i="1"/>
  <c r="CB6" i="1"/>
  <c r="BP6" i="1"/>
  <c r="BV6" i="1"/>
  <c r="DF85" i="1"/>
  <c r="CH45" i="1"/>
  <c r="CN45" i="1"/>
  <c r="CK51" i="1"/>
  <c r="BJ24" i="1"/>
  <c r="BP33" i="1"/>
  <c r="BV33" i="1" s="1"/>
  <c r="BO33" i="1"/>
  <c r="BU39" i="1"/>
  <c r="BY60" i="1"/>
  <c r="CA87" i="1"/>
  <c r="BH36" i="1"/>
  <c r="BN45" i="1"/>
  <c r="BT51" i="1"/>
  <c r="CA21" i="1" l="1"/>
  <c r="BW21" i="1"/>
  <c r="BY48" i="1" s="1"/>
  <c r="CL24" i="1"/>
  <c r="GX27" i="1"/>
  <c r="GC51" i="1"/>
  <c r="CN24" i="1"/>
  <c r="CA48" i="1"/>
  <c r="CA75" i="1"/>
  <c r="GH50" i="1"/>
  <c r="GI51" i="1"/>
  <c r="GH51" i="1"/>
  <c r="CB81" i="1" s="1"/>
  <c r="CM45" i="1"/>
  <c r="CN72" i="1"/>
  <c r="EK124" i="1"/>
  <c r="EJ124" i="1"/>
  <c r="BO60" i="1"/>
  <c r="BU78" i="1"/>
  <c r="CK81" i="1"/>
  <c r="CH63" i="1"/>
  <c r="CK102" i="1"/>
  <c r="CH72" i="1"/>
  <c r="CM24" i="1"/>
  <c r="BH18" i="1"/>
  <c r="BN27" i="1"/>
  <c r="CJ51" i="1"/>
  <c r="CG45" i="1"/>
  <c r="GD26" i="1"/>
  <c r="GE27" i="1" s="1"/>
  <c r="GD27" i="1"/>
  <c r="GJ25" i="1"/>
  <c r="FP27" i="1"/>
  <c r="FP26" i="1"/>
  <c r="FQ27" i="1" s="1"/>
  <c r="FV25" i="1"/>
  <c r="EK45" i="1"/>
  <c r="EK44" i="1"/>
  <c r="EL45" i="1" s="1"/>
  <c r="BJ18" i="1"/>
  <c r="BP27" i="1"/>
  <c r="EZ27" i="1"/>
  <c r="EZ26" i="1"/>
  <c r="FA27" i="1" s="1"/>
  <c r="BY21" i="1"/>
  <c r="CA69" i="1"/>
  <c r="BY42" i="1"/>
  <c r="GB26" i="1"/>
  <c r="GB27" i="1"/>
  <c r="GX30" i="1"/>
  <c r="GC27" i="1"/>
  <c r="U9" i="3"/>
  <c r="V9" i="3" s="1"/>
  <c r="W9" i="3" s="1"/>
  <c r="AF9" i="1" s="1"/>
  <c r="T9" i="3"/>
  <c r="S10" i="3" s="1"/>
  <c r="FT24" i="1"/>
  <c r="BZ36" i="1" s="1"/>
  <c r="FT23" i="1"/>
  <c r="FU24" i="1" s="1"/>
  <c r="FN27" i="1"/>
  <c r="FN26" i="1"/>
  <c r="FO27" i="1" s="1"/>
  <c r="BS69" i="1"/>
  <c r="BM51" i="1"/>
  <c r="CG54" i="1"/>
  <c r="CJ72" i="1"/>
  <c r="BM54" i="1"/>
  <c r="CF39" i="1"/>
  <c r="BO72" i="1"/>
  <c r="BX30" i="1"/>
  <c r="CB120" i="1"/>
  <c r="BZ75" i="1"/>
  <c r="GB53" i="1"/>
  <c r="GX57" i="1" s="1"/>
  <c r="GB54" i="1"/>
  <c r="BS48" i="1"/>
  <c r="BM42" i="1"/>
  <c r="FB27" i="1"/>
  <c r="FB26" i="1"/>
  <c r="FC27" i="1"/>
  <c r="FH25" i="1"/>
  <c r="CN78" i="1"/>
  <c r="CM51" i="1"/>
  <c r="FF24" i="1"/>
  <c r="FF23" i="1"/>
  <c r="FG24" i="1" s="1"/>
  <c r="BO12" i="1"/>
  <c r="BM12" i="1"/>
  <c r="CF15" i="1"/>
  <c r="BU99" i="1"/>
  <c r="BO69" i="1"/>
  <c r="GD53" i="1"/>
  <c r="GJ52" i="1"/>
  <c r="GD54" i="1"/>
  <c r="GE54" i="1"/>
  <c r="BV60" i="1"/>
  <c r="BJ45" i="1"/>
  <c r="BP54" i="1"/>
  <c r="CB63" i="1"/>
  <c r="GH23" i="1"/>
  <c r="GI24" i="1" s="1"/>
  <c r="GH24" i="1"/>
  <c r="CB36" i="1" s="1"/>
  <c r="AL26" i="1"/>
  <c r="AL28" i="1" s="1"/>
  <c r="C26" i="1" s="1"/>
  <c r="AL31" i="1" s="1"/>
  <c r="C30" i="1" s="1"/>
  <c r="AX6" i="1"/>
  <c r="AZ6" i="1" s="1"/>
  <c r="AZ13" i="1" s="1"/>
  <c r="AM26" i="1"/>
  <c r="BN15" i="1"/>
  <c r="BP15" i="1"/>
  <c r="BK45" i="1" l="1"/>
  <c r="GC54" i="1"/>
  <c r="BY24" i="1"/>
  <c r="CM27" i="1"/>
  <c r="AY69" i="1"/>
  <c r="AY62" i="1"/>
  <c r="AY70" i="1"/>
  <c r="AX62" i="1"/>
  <c r="C31" i="1"/>
  <c r="AR21" i="1"/>
  <c r="AR23" i="1" s="1"/>
  <c r="AX69" i="1"/>
  <c r="AX63" i="1"/>
  <c r="AX70" i="1"/>
  <c r="AX68" i="1"/>
  <c r="AY63" i="1"/>
  <c r="AY68" i="1"/>
  <c r="AY71" i="1" s="1"/>
  <c r="GJ27" i="1"/>
  <c r="CB42" i="1" s="1"/>
  <c r="GJ26" i="1"/>
  <c r="GK27" i="1" s="1"/>
  <c r="GJ53" i="1"/>
  <c r="GK54" i="1" s="1"/>
  <c r="GJ54" i="1"/>
  <c r="CB87" i="1" s="1"/>
  <c r="AZ29" i="1"/>
  <c r="AZ19" i="1"/>
  <c r="AZ33" i="1"/>
  <c r="AZ15" i="1"/>
  <c r="AZ24" i="1"/>
  <c r="AZ35" i="1"/>
  <c r="AZ20" i="1"/>
  <c r="AZ17" i="1"/>
  <c r="AZ34" i="1"/>
  <c r="AZ28" i="1"/>
  <c r="AZ18" i="1"/>
  <c r="AZ38" i="1"/>
  <c r="AZ36" i="1"/>
  <c r="AZ22" i="1"/>
  <c r="AZ37" i="1"/>
  <c r="AZ32" i="1"/>
  <c r="AZ31" i="1"/>
  <c r="AZ16" i="1"/>
  <c r="AZ23" i="1"/>
  <c r="AZ25" i="1"/>
  <c r="AZ30" i="1"/>
  <c r="AZ21" i="1"/>
  <c r="AZ26" i="1"/>
  <c r="AZ27" i="1"/>
  <c r="BV18" i="1"/>
  <c r="CB18" i="1"/>
  <c r="CH75" i="1"/>
  <c r="CG57" i="1"/>
  <c r="GV30" i="1"/>
  <c r="FV27" i="1"/>
  <c r="BZ42" i="1" s="1"/>
  <c r="FV26" i="1"/>
  <c r="FW27" i="1" s="1"/>
  <c r="BX36" i="1"/>
  <c r="BZ81" i="1"/>
  <c r="CB126" i="1"/>
  <c r="CA51" i="1"/>
  <c r="BM63" i="1"/>
  <c r="BO81" i="1"/>
  <c r="CF51" i="1"/>
  <c r="GT30" i="1"/>
  <c r="T10" i="3"/>
  <c r="S11" i="3" s="1"/>
  <c r="U10" i="3"/>
  <c r="V10" i="3" s="1"/>
  <c r="W10" i="3" s="1"/>
  <c r="AF10" i="1" s="1"/>
  <c r="CN54" i="1"/>
  <c r="BW24" i="1"/>
  <c r="CA24" i="1"/>
  <c r="CH15" i="1"/>
  <c r="CG15" i="1"/>
  <c r="FH26" i="1"/>
  <c r="FH27" i="1"/>
  <c r="FI27" i="1"/>
  <c r="CN27" i="1"/>
  <c r="CL27" i="1"/>
  <c r="BT18" i="1"/>
  <c r="BZ18" i="1"/>
  <c r="BN84" i="1"/>
  <c r="BL57" i="1"/>
  <c r="BP111" i="1"/>
  <c r="BW27" i="1" l="1"/>
  <c r="CM30" i="1"/>
  <c r="CL30" i="1"/>
  <c r="CM57" i="1" s="1"/>
  <c r="AZ54" i="1"/>
  <c r="BC102" i="1" s="1"/>
  <c r="F36" i="1" s="1"/>
  <c r="BY54" i="1"/>
  <c r="CA81" i="1"/>
  <c r="CA27" i="1"/>
  <c r="CN30" i="1"/>
  <c r="BC63" i="1"/>
  <c r="F23" i="1" s="1"/>
  <c r="BC33" i="1"/>
  <c r="F13" i="1" s="1"/>
  <c r="BC90" i="1"/>
  <c r="F32" i="1" s="1"/>
  <c r="BC6" i="1"/>
  <c r="F4" i="1" s="1"/>
  <c r="BC117" i="1"/>
  <c r="F41" i="1" s="1"/>
  <c r="BC36" i="1"/>
  <c r="F14" i="1" s="1"/>
  <c r="BC135" i="1"/>
  <c r="F47" i="1" s="1"/>
  <c r="BC24" i="1"/>
  <c r="F10" i="1" s="1"/>
  <c r="BC45" i="1"/>
  <c r="F17" i="1" s="1"/>
  <c r="BC69" i="1"/>
  <c r="F25" i="1" s="1"/>
  <c r="BC123" i="1"/>
  <c r="F43" i="1" s="1"/>
  <c r="BC114" i="1"/>
  <c r="F40" i="1" s="1"/>
  <c r="BC126" i="1"/>
  <c r="F44" i="1" s="1"/>
  <c r="BC51" i="1"/>
  <c r="F19" i="1" s="1"/>
  <c r="BC129" i="1"/>
  <c r="F45" i="1" s="1"/>
  <c r="BC141" i="1"/>
  <c r="F49" i="1" s="1"/>
  <c r="BC96" i="1"/>
  <c r="F34" i="1" s="1"/>
  <c r="BC75" i="1"/>
  <c r="F27" i="1" s="1"/>
  <c r="BC147" i="1"/>
  <c r="F51" i="1" s="1"/>
  <c r="BC111" i="1"/>
  <c r="F39" i="1" s="1"/>
  <c r="BC144" i="1"/>
  <c r="F50" i="1" s="1"/>
  <c r="BC57" i="1"/>
  <c r="F21" i="1" s="1"/>
  <c r="BC9" i="1"/>
  <c r="F5" i="1" s="1"/>
  <c r="BC138" i="1"/>
  <c r="F48" i="1" s="1"/>
  <c r="BC48" i="1"/>
  <c r="F18" i="1" s="1"/>
  <c r="BC81" i="1"/>
  <c r="F29" i="1" s="1"/>
  <c r="BC42" i="1"/>
  <c r="F16" i="1" s="1"/>
  <c r="BC93" i="1"/>
  <c r="F33" i="1" s="1"/>
  <c r="BC72" i="1"/>
  <c r="F26" i="1" s="1"/>
  <c r="BC66" i="1"/>
  <c r="F24" i="1" s="1"/>
  <c r="BC54" i="1"/>
  <c r="F20" i="1" s="1"/>
  <c r="CG69" i="1"/>
  <c r="CH87" i="1"/>
  <c r="CW12" i="1"/>
  <c r="CS100" i="1"/>
  <c r="BX27" i="1"/>
  <c r="BT87" i="1"/>
  <c r="CU82" i="1"/>
  <c r="BX51" i="1"/>
  <c r="BZ96" i="1"/>
  <c r="BN63" i="1"/>
  <c r="CB117" i="1"/>
  <c r="BP96" i="1"/>
  <c r="BN69" i="1"/>
  <c r="CB141" i="1"/>
  <c r="CS94" i="1"/>
  <c r="DC18" i="1"/>
  <c r="BV126" i="1"/>
  <c r="BP90" i="1"/>
  <c r="BZ72" i="1"/>
  <c r="BT75" i="1"/>
  <c r="DC21" i="1"/>
  <c r="BV114" i="1"/>
  <c r="BW18" i="1"/>
  <c r="CL21" i="1"/>
  <c r="CN57" i="1"/>
  <c r="EG18" i="1"/>
  <c r="BP36" i="1"/>
  <c r="BV36" i="1" s="1"/>
  <c r="EA12" i="1"/>
  <c r="CB27" i="1"/>
  <c r="DY82" i="1"/>
  <c r="EG21" i="1"/>
  <c r="BV48" i="1"/>
  <c r="DW100" i="1"/>
  <c r="BJ33" i="1" s="1"/>
  <c r="DW94" i="1"/>
  <c r="BJ27" i="1" s="1"/>
  <c r="BP42" i="1"/>
  <c r="CB51" i="1"/>
  <c r="CN21" i="1"/>
  <c r="CA18" i="1"/>
  <c r="AY64" i="1"/>
  <c r="T11" i="3"/>
  <c r="S12" i="3" s="1"/>
  <c r="U11" i="3"/>
  <c r="V11" i="3" s="1"/>
  <c r="W11" i="3" s="1"/>
  <c r="AF11" i="1" s="1"/>
  <c r="AR24" i="1"/>
  <c r="AR25" i="1" s="1"/>
  <c r="AR26" i="1"/>
  <c r="CA54" i="1"/>
  <c r="BX42" i="1"/>
  <c r="CB132" i="1"/>
  <c r="BZ87" i="1"/>
  <c r="DR18" i="1"/>
  <c r="DR21" i="1"/>
  <c r="BZ27" i="1"/>
  <c r="BT48" i="1"/>
  <c r="DL12" i="1"/>
  <c r="BZ51" i="1"/>
  <c r="DH94" i="1"/>
  <c r="BH27" i="1" s="1"/>
  <c r="DJ82" i="1"/>
  <c r="BN42" i="1"/>
  <c r="DH100" i="1"/>
  <c r="BH33" i="1" s="1"/>
  <c r="BN36" i="1"/>
  <c r="BT36" i="1"/>
  <c r="BY18" i="1"/>
  <c r="CM21" i="1"/>
  <c r="CM54" i="1"/>
  <c r="CN81" i="1"/>
  <c r="CA78" i="1"/>
  <c r="BY51" i="1"/>
  <c r="BY27" i="1"/>
  <c r="EG36" i="1"/>
  <c r="DW121" i="1"/>
  <c r="BJ54" i="1" s="1"/>
  <c r="BV87" i="1"/>
  <c r="EG39" i="1"/>
  <c r="BP63" i="1"/>
  <c r="EA30" i="1"/>
  <c r="CB96" i="1"/>
  <c r="BP69" i="1"/>
  <c r="CB72" i="1"/>
  <c r="DW127" i="1"/>
  <c r="BJ60" i="1" s="1"/>
  <c r="DY109" i="1"/>
  <c r="BV75" i="1"/>
  <c r="CA45" i="1"/>
  <c r="CN48" i="1"/>
  <c r="BC87" i="1" l="1"/>
  <c r="F31" i="1" s="1"/>
  <c r="BC120" i="1"/>
  <c r="F42" i="1" s="1"/>
  <c r="BC60" i="1"/>
  <c r="F22" i="1" s="1"/>
  <c r="BC15" i="1"/>
  <c r="F7" i="1" s="1"/>
  <c r="BC78" i="1"/>
  <c r="F28" i="1" s="1"/>
  <c r="BC99" i="1"/>
  <c r="F35" i="1" s="1"/>
  <c r="CN84" i="1"/>
  <c r="BC105" i="1"/>
  <c r="F37" i="1" s="1"/>
  <c r="BC132" i="1"/>
  <c r="F46" i="1" s="1"/>
  <c r="BC39" i="1"/>
  <c r="F15" i="1" s="1"/>
  <c r="BC30" i="1"/>
  <c r="F12" i="1" s="1"/>
  <c r="BC108" i="1"/>
  <c r="F38" i="1" s="1"/>
  <c r="BC27" i="1"/>
  <c r="F11" i="1" s="1"/>
  <c r="BC84" i="1"/>
  <c r="F30" i="1" s="1"/>
  <c r="CE21" i="1"/>
  <c r="BI18" i="1"/>
  <c r="BI30" i="1"/>
  <c r="CE33" i="1"/>
  <c r="T12" i="3"/>
  <c r="S13" i="3" s="1"/>
  <c r="U12" i="3"/>
  <c r="V12" i="3" s="1"/>
  <c r="W12" i="3" s="1"/>
  <c r="AF12" i="1" s="1"/>
  <c r="CM48" i="1"/>
  <c r="CN75" i="1"/>
  <c r="CC21" i="1"/>
  <c r="BE18" i="1"/>
  <c r="CD24" i="1"/>
  <c r="BG21" i="1"/>
  <c r="CD21" i="1"/>
  <c r="BG18" i="1"/>
  <c r="BN24" i="1"/>
  <c r="BH15" i="1"/>
  <c r="CE24" i="1"/>
  <c r="BI21" i="1"/>
  <c r="CA72" i="1"/>
  <c r="BY45" i="1"/>
  <c r="BF27" i="1"/>
  <c r="BJ81" i="1"/>
  <c r="BH54" i="1"/>
  <c r="BL36" i="1"/>
  <c r="BR36" i="1" s="1"/>
  <c r="BF15" i="1"/>
  <c r="BH42" i="1"/>
  <c r="BJ69" i="1"/>
  <c r="BL24" i="1"/>
  <c r="BN51" i="1"/>
  <c r="BZ60" i="1"/>
  <c r="BT57" i="1"/>
  <c r="BP78" i="1"/>
  <c r="BV96" i="1"/>
  <c r="CB105" i="1"/>
  <c r="BJ15" i="1"/>
  <c r="BP24" i="1"/>
  <c r="BI39" i="1"/>
  <c r="CE42" i="1"/>
  <c r="CB60" i="1"/>
  <c r="BJ42" i="1"/>
  <c r="BP51" i="1"/>
  <c r="BV57" i="1"/>
  <c r="CC24" i="1"/>
  <c r="BE21" i="1"/>
  <c r="CD15" i="1"/>
  <c r="BG12" i="1"/>
  <c r="CE15" i="1"/>
  <c r="BI12" i="1"/>
  <c r="BL42" i="1"/>
  <c r="BF33" i="1"/>
  <c r="BJ87" i="1"/>
  <c r="BH60" i="1"/>
  <c r="BR48" i="1"/>
  <c r="CE39" i="1"/>
  <c r="BI36" i="1"/>
  <c r="AR28" i="1"/>
  <c r="AR27" i="1"/>
  <c r="AR30" i="1" s="1"/>
  <c r="C32" i="1" s="1"/>
  <c r="CC15" i="1"/>
  <c r="BE12" i="1"/>
  <c r="CN15" i="1" l="1"/>
  <c r="CH24" i="1"/>
  <c r="CK15" i="1"/>
  <c r="BS12" i="1"/>
  <c r="BY12" i="1"/>
  <c r="BM21" i="1"/>
  <c r="BM27" i="1"/>
  <c r="BS27" i="1"/>
  <c r="BO48" i="1"/>
  <c r="CA57" i="1"/>
  <c r="BU66" i="1"/>
  <c r="CJ30" i="1"/>
  <c r="CG30" i="1"/>
  <c r="BI48" i="1"/>
  <c r="BG30" i="1"/>
  <c r="BK21" i="1"/>
  <c r="BQ12" i="1"/>
  <c r="BW12" i="1"/>
  <c r="BC12" i="1"/>
  <c r="F6" i="1" s="1"/>
  <c r="BI57" i="1"/>
  <c r="BG39" i="1"/>
  <c r="BW30" i="1"/>
  <c r="BQ36" i="1"/>
  <c r="BK30" i="1"/>
  <c r="BC21" i="1"/>
  <c r="F9" i="1" s="1"/>
  <c r="BS36" i="1"/>
  <c r="BY30" i="1"/>
  <c r="BM30" i="1"/>
  <c r="CN42" i="1"/>
  <c r="CK48" i="1"/>
  <c r="CH42" i="1"/>
  <c r="U13" i="3"/>
  <c r="V13" i="3" s="1"/>
  <c r="W13" i="3" s="1"/>
  <c r="AF13" i="1" s="1"/>
  <c r="T13" i="3"/>
  <c r="S14" i="3" s="1"/>
  <c r="CI15" i="1"/>
  <c r="CE51" i="1"/>
  <c r="CL15" i="1"/>
  <c r="CD33" i="1"/>
  <c r="CF24" i="1"/>
  <c r="CI39" i="1"/>
  <c r="CD42" i="1"/>
  <c r="CE60" i="1"/>
  <c r="CL33" i="1"/>
  <c r="CF33" i="1"/>
  <c r="BV15" i="1"/>
  <c r="CB15" i="1"/>
  <c r="CJ39" i="1"/>
  <c r="CM33" i="1"/>
  <c r="CG33" i="1"/>
  <c r="CA39" i="1"/>
  <c r="BU45" i="1"/>
  <c r="BO39" i="1"/>
  <c r="BZ15" i="1"/>
  <c r="BT15" i="1"/>
  <c r="CN60" i="1"/>
  <c r="CH51" i="1"/>
  <c r="CK69" i="1"/>
  <c r="CG24" i="1"/>
  <c r="CM15" i="1"/>
  <c r="CJ15" i="1"/>
  <c r="BO30" i="1"/>
  <c r="BU36" i="1"/>
  <c r="CA30" i="1"/>
  <c r="BK27" i="1"/>
  <c r="BQ27" i="1"/>
  <c r="BI54" i="1"/>
  <c r="BG36" i="1"/>
  <c r="BC18" i="1"/>
  <c r="F8" i="1" s="1"/>
  <c r="BO27" i="1"/>
  <c r="BU27" i="1"/>
  <c r="CA12" i="1"/>
  <c r="BU12" i="1"/>
  <c r="BO21" i="1"/>
  <c r="BO45" i="1"/>
  <c r="BU57" i="1"/>
  <c r="CH48" i="1"/>
  <c r="CK60" i="1"/>
  <c r="BX15" i="1"/>
  <c r="BR15" i="1"/>
  <c r="CN33" i="1"/>
  <c r="CK39" i="1"/>
  <c r="CH33" i="1"/>
  <c r="CE57" i="1"/>
  <c r="CI30" i="1"/>
  <c r="CF30" i="1"/>
  <c r="CD39" i="1"/>
  <c r="CK30" i="1"/>
  <c r="CH30" i="1"/>
  <c r="BS45" i="1" l="1"/>
  <c r="BM39" i="1"/>
  <c r="CA84" i="1"/>
  <c r="BY57" i="1"/>
  <c r="BO57" i="1"/>
  <c r="BU75" i="1"/>
  <c r="CG51" i="1"/>
  <c r="CJ69" i="1"/>
  <c r="CJ60" i="1"/>
  <c r="CG48" i="1"/>
  <c r="CG42" i="1"/>
  <c r="CJ48" i="1"/>
  <c r="BM48" i="1"/>
  <c r="BS66" i="1"/>
  <c r="CM42" i="1"/>
  <c r="CN69" i="1"/>
  <c r="BU96" i="1"/>
  <c r="BO66" i="1"/>
  <c r="CK78" i="1"/>
  <c r="CH60" i="1"/>
  <c r="CH66" i="1"/>
  <c r="CK90" i="1"/>
  <c r="BM45" i="1"/>
  <c r="BS57" i="1"/>
  <c r="CM60" i="1"/>
  <c r="CN87" i="1"/>
  <c r="CA66" i="1"/>
  <c r="BY39" i="1"/>
  <c r="BU87" i="1"/>
  <c r="BO63" i="1"/>
  <c r="CH69" i="1"/>
  <c r="CK99" i="1"/>
  <c r="T14" i="3"/>
  <c r="S15" i="3" s="1"/>
  <c r="U14" i="3"/>
  <c r="V14" i="3" s="1"/>
  <c r="W14" i="3" s="1"/>
  <c r="AF14" i="1" s="1"/>
  <c r="T15" i="3" l="1"/>
  <c r="S16" i="3" s="1"/>
  <c r="U15" i="3"/>
  <c r="V15" i="3" s="1"/>
  <c r="W15" i="3" s="1"/>
  <c r="AF15" i="1" s="1"/>
  <c r="U16" i="3" l="1"/>
  <c r="V16" i="3" s="1"/>
  <c r="W16" i="3" s="1"/>
  <c r="AF16" i="1" s="1"/>
  <c r="T16" i="3"/>
  <c r="S17" i="3" s="1"/>
  <c r="U17" i="3" l="1"/>
  <c r="V17" i="3" s="1"/>
  <c r="W17" i="3" s="1"/>
  <c r="AF17" i="1" s="1"/>
  <c r="T17" i="3"/>
  <c r="S18" i="3" s="1"/>
  <c r="U18" i="3" l="1"/>
  <c r="V18" i="3" s="1"/>
  <c r="W18" i="3" s="1"/>
  <c r="AF18" i="1" s="1"/>
  <c r="T18" i="3"/>
  <c r="S19" i="3" s="1"/>
  <c r="U19" i="3" l="1"/>
  <c r="V19" i="3" s="1"/>
  <c r="W19" i="3" s="1"/>
  <c r="AF19" i="1" s="1"/>
  <c r="T19" i="3"/>
  <c r="S20" i="3" s="1"/>
  <c r="U20" i="3" l="1"/>
  <c r="V20" i="3" s="1"/>
  <c r="W20" i="3" s="1"/>
  <c r="AF20" i="1" s="1"/>
  <c r="T20" i="3"/>
  <c r="S21" i="3" s="1"/>
  <c r="T21" i="3" l="1"/>
  <c r="S22" i="3" s="1"/>
  <c r="U21" i="3"/>
  <c r="V21" i="3" s="1"/>
  <c r="W21" i="3" s="1"/>
  <c r="AF21" i="1" s="1"/>
  <c r="T22" i="3" l="1"/>
  <c r="S23" i="3" s="1"/>
  <c r="U22" i="3"/>
  <c r="V22" i="3" s="1"/>
  <c r="W22" i="3" s="1"/>
  <c r="AF22" i="1" s="1"/>
  <c r="T23" i="3" l="1"/>
  <c r="S24" i="3" s="1"/>
  <c r="U23" i="3"/>
  <c r="V23" i="3" s="1"/>
  <c r="W23" i="3" s="1"/>
  <c r="AF23" i="1" s="1"/>
  <c r="U24" i="3" l="1"/>
  <c r="V24" i="3" s="1"/>
  <c r="W24" i="3" s="1"/>
  <c r="AF24" i="1" s="1"/>
  <c r="T24" i="3"/>
  <c r="S25" i="3" s="1"/>
  <c r="T25" i="3" l="1"/>
  <c r="S26" i="3" s="1"/>
  <c r="U25" i="3"/>
  <c r="V25" i="3" s="1"/>
  <c r="W25" i="3" s="1"/>
  <c r="AF25" i="1" s="1"/>
  <c r="U26" i="3" l="1"/>
  <c r="V26" i="3" s="1"/>
  <c r="W26" i="3" s="1"/>
  <c r="AF26" i="1" s="1"/>
  <c r="T26" i="3"/>
  <c r="S27" i="3" s="1"/>
  <c r="T27" i="3" l="1"/>
  <c r="S28" i="3" s="1"/>
  <c r="U27" i="3"/>
  <c r="V27" i="3" s="1"/>
  <c r="W27" i="3" s="1"/>
  <c r="AF27" i="1" s="1"/>
  <c r="U28" i="3" l="1"/>
  <c r="V28" i="3" s="1"/>
  <c r="W28" i="3" s="1"/>
  <c r="AF28" i="1" s="1"/>
  <c r="T28" i="3"/>
  <c r="S29" i="3" s="1"/>
  <c r="T29" i="3" l="1"/>
  <c r="S30" i="3" s="1"/>
  <c r="U29" i="3"/>
  <c r="V29" i="3" s="1"/>
  <c r="W29" i="3" s="1"/>
  <c r="AF29" i="1" s="1"/>
  <c r="U30" i="3" l="1"/>
  <c r="V30" i="3" s="1"/>
  <c r="W30" i="3" s="1"/>
  <c r="AF30" i="1" s="1"/>
  <c r="T30" i="3"/>
</calcChain>
</file>

<file path=xl/sharedStrings.xml><?xml version="1.0" encoding="utf-8"?>
<sst xmlns="http://schemas.openxmlformats.org/spreadsheetml/2006/main" count="2958" uniqueCount="2431">
  <si>
    <t>ページの一番下で、言語を選択下さい。次に、最初の４つのボックスに入力すると、推奨のカッタが提示されます。その中から一つ、カッタをお選びいただきますと、そのカッタについて推奨切削条件、ねじ切り製作所要時間などの情報をご覧いただけます。ＣＮＣプログラムもすべてご覧いただけます。ＣＮＣプログラムをコピーして、お客様のＣＮＣファイルに貼り付けていただくこともできます。残りの６つのボックスは、スミカット社が推奨する条件以外に設定する場合にご利用下さい。</t>
    <rPh sb="4" eb="6">
      <t/>
    </rPh>
    <rPh sb="6" eb="7">
      <t/>
    </rPh>
    <rPh sb="9" eb="11">
      <t/>
    </rPh>
    <rPh sb="12" eb="14">
      <t/>
    </rPh>
    <rPh sb="14" eb="15">
      <t/>
    </rPh>
    <rPh sb="18" eb="19">
      <t/>
    </rPh>
    <rPh sb="21" eb="23">
      <t/>
    </rPh>
    <rPh sb="32" eb="34">
      <t/>
    </rPh>
    <rPh sb="38" eb="40">
      <t/>
    </rPh>
    <rPh sb="45" eb="47">
      <t/>
    </rPh>
    <rPh sb="54" eb="55">
      <t/>
    </rPh>
    <rPh sb="57" eb="58">
      <t/>
    </rPh>
    <rPh sb="65" eb="66">
      <t/>
    </rPh>
    <rPh sb="84" eb="86">
      <t/>
    </rPh>
    <rPh sb="86" eb="88">
      <t/>
    </rPh>
    <rPh sb="88" eb="90">
      <t/>
    </rPh>
    <rPh sb="93" eb="94">
      <t/>
    </rPh>
    <rPh sb="95" eb="97">
      <t/>
    </rPh>
    <rPh sb="97" eb="99">
      <t/>
    </rPh>
    <rPh sb="99" eb="101">
      <t/>
    </rPh>
    <rPh sb="104" eb="106">
      <t/>
    </rPh>
    <rPh sb="108" eb="109">
      <t/>
    </rPh>
    <phoneticPr fontId="4"/>
  </si>
  <si>
    <r>
      <t>首先在畫面右下方可選擇您所需要的語言，左上方四個方塊中選擇機器設備、工件材質及銑牙的基本資料，一旦選定程式提供所選擇的合適刀具後，所有的切削條件包括轉速、銑牙完成時間及全套完整的</t>
    </r>
    <r>
      <rPr>
        <sz val="9"/>
        <rFont val="Verdana"/>
        <family val="2"/>
      </rPr>
      <t>CNC</t>
    </r>
    <r>
      <rPr>
        <sz val="9"/>
        <rFont val="細明體"/>
        <family val="3"/>
        <charset val="136"/>
      </rPr>
      <t>程式均會同時顯示；其他六個方塊的建議值您也可以修改以符合您的需求。</t>
    </r>
    <phoneticPr fontId="4"/>
  </si>
  <si>
    <t>Ruostumaton, austeettinen</t>
  </si>
  <si>
    <t>Ruostumaton, ferriittinen</t>
  </si>
  <si>
    <t>Teräs, karkaistu, &lt; 45 HRC</t>
  </si>
  <si>
    <t>Teräs, karkaistu, &lt; 55 HRC</t>
  </si>
  <si>
    <t>Teräs, karkaistu, &lt; 65 HRC</t>
  </si>
  <si>
    <t>Valurauta harmaa, &lt; 500 N/mm2</t>
  </si>
  <si>
    <t>Valurauta harmaa, &lt; 1000 N/mm2</t>
  </si>
  <si>
    <t>Valurauta adusoitu, &lt; 700 N/mm2</t>
  </si>
  <si>
    <t>Valurauta adusoitu, &lt; 1000 N/mm2</t>
  </si>
  <si>
    <t>l = Leikkuusärmänpituus (mm)</t>
  </si>
  <si>
    <t>z = Leikkuiden määrä</t>
  </si>
  <si>
    <t>V = Lastuamisnopeus (m/min)</t>
  </si>
  <si>
    <t>Fz = Hammassyöttö (mm/z)</t>
  </si>
  <si>
    <t>Lastujen määrä, radiaali (max 3)</t>
  </si>
  <si>
    <t>N = karan kierrokset (varv/min)</t>
  </si>
  <si>
    <t>FD = syöttö kierteen halkaisiassa (mm/min)</t>
  </si>
  <si>
    <t>Fd = syöttö jyrsimen keskiössä (mm/min)</t>
  </si>
  <si>
    <t>T = työstöaika  sekunneissa</t>
  </si>
  <si>
    <t>1012, 1 pass, microfräsar, Heidenhain</t>
  </si>
  <si>
    <t xml:space="preserve"> FN 0: Q2 =+0</t>
  </si>
  <si>
    <t>1022, 2 pass, microfräsar, Heidenhain</t>
  </si>
  <si>
    <t xml:space="preserve"> LBL 102</t>
  </si>
  <si>
    <t xml:space="preserve"> FN 12: IF +Q2 LT +Q1 GOTO LBL 102</t>
  </si>
  <si>
    <t xml:space="preserve">하나 또는 두개의 이를 가진 표준 쓰레드 밀 타입인 NM을 선택할 경우, 시작으로   부터 나사가 완료될 때까지 프로그램은 나선을 자동적으로 만들 것입니다.            만일 다른 툴로 동일한 작업을 하기 원할 경우, 사각형 칸6 에 절삭날의 길이에 따른 피치를 등록해야 합니다. </t>
    <phoneticPr fontId="4"/>
  </si>
  <si>
    <t xml:space="preserve">샹크에서 가장 가까운 곳의 마지막 나사는 공구 직경 보다 큼니다.                        그러므로 밀링 커터로 작업 할 때, 이 부분의 공구 직경을 입력해야 합니다. </t>
    <phoneticPr fontId="4"/>
  </si>
  <si>
    <t>回主畫面</t>
    <phoneticPr fontId="4"/>
  </si>
  <si>
    <r>
      <t>纯钛</t>
    </r>
    <r>
      <rPr>
        <sz val="10"/>
        <rFont val="Arial"/>
        <family val="2"/>
      </rPr>
      <t>, &lt; 700 N/mm2</t>
    </r>
    <phoneticPr fontId="4"/>
  </si>
  <si>
    <r>
      <t>钛合金</t>
    </r>
    <r>
      <rPr>
        <sz val="10"/>
        <rFont val="Arial"/>
        <family val="2"/>
      </rPr>
      <t>, &lt; 900 N/mm2</t>
    </r>
    <phoneticPr fontId="4"/>
  </si>
  <si>
    <r>
      <t>钛合金</t>
    </r>
    <r>
      <rPr>
        <sz val="10"/>
        <rFont val="Arial"/>
        <family val="2"/>
      </rPr>
      <t>, &lt; 1250 N/mm2</t>
    </r>
    <phoneticPr fontId="4"/>
  </si>
  <si>
    <r>
      <t>纯镍</t>
    </r>
    <r>
      <rPr>
        <sz val="10"/>
        <rFont val="Arial"/>
        <family val="2"/>
      </rPr>
      <t>, &lt; 500 N/mm2</t>
    </r>
    <phoneticPr fontId="4"/>
  </si>
  <si>
    <r>
      <t>镍合金</t>
    </r>
    <r>
      <rPr>
        <sz val="10"/>
        <rFont val="Arial"/>
        <family val="2"/>
      </rPr>
      <t>, &lt; 900 N/mm2</t>
    </r>
    <phoneticPr fontId="4"/>
  </si>
  <si>
    <r>
      <t>镍合金</t>
    </r>
    <r>
      <rPr>
        <sz val="10"/>
        <rFont val="Arial"/>
        <family val="2"/>
      </rPr>
      <t>, &lt; 1250 N/mm2</t>
    </r>
    <phoneticPr fontId="4"/>
  </si>
  <si>
    <r>
      <t>从右边最下端选择一种语言。在菜单中前面四个空格中填入足够的信息后，软件会显示一系列推荐的螺纹铣刀。选定其中一把后，软件将列出推荐的切削参数和加工该螺纹所需的时间。完整的</t>
    </r>
    <r>
      <rPr>
        <sz val="9"/>
        <rFont val="Arial"/>
        <family val="2"/>
      </rPr>
      <t>CNC</t>
    </r>
    <r>
      <rPr>
        <sz val="9"/>
        <rFont val="宋体"/>
        <charset val="134"/>
      </rPr>
      <t>加工程序也会显示出来。</t>
    </r>
    <r>
      <rPr>
        <sz val="9"/>
        <rFont val="Arial"/>
        <family val="2"/>
      </rPr>
      <t>CNC</t>
    </r>
    <r>
      <rPr>
        <sz val="9"/>
        <rFont val="宋体"/>
        <charset val="134"/>
      </rPr>
      <t>加工程序可以被复制并粘贴到你的</t>
    </r>
    <r>
      <rPr>
        <sz val="9"/>
        <rFont val="Arial"/>
        <family val="2"/>
      </rPr>
      <t>CNC</t>
    </r>
    <r>
      <rPr>
        <sz val="9"/>
        <rFont val="宋体"/>
        <charset val="134"/>
      </rPr>
      <t>程序文件中。如果不愿接受推荐值，则须填写另外的</t>
    </r>
    <r>
      <rPr>
        <sz val="9"/>
        <rFont val="Arial"/>
        <family val="2"/>
      </rPr>
      <t>6</t>
    </r>
    <r>
      <rPr>
        <sz val="9"/>
        <rFont val="宋体"/>
        <charset val="134"/>
      </rPr>
      <t>个空格。</t>
    </r>
    <phoneticPr fontId="4"/>
  </si>
  <si>
    <t>Titaani, seostettu, &lt; 1250 N/mm2</t>
  </si>
  <si>
    <t>Nikkeli, ei seostettu, &lt; 500 N/mm2</t>
  </si>
  <si>
    <t>Nikkeli, seostettu, &lt; 900 N/mm2</t>
  </si>
  <si>
    <t>Nikkeli, seostettu, &lt; 1250 N/mm2</t>
  </si>
  <si>
    <t>Kupari, ei seostettu, &lt; 350 N/mm2</t>
  </si>
  <si>
    <t>Kupari, messinki, pronssi, &lt; 700 N/mm2</t>
  </si>
  <si>
    <t>Kupari, pronssi korkea murtolujuus, &lt; 1500 N/mm2</t>
  </si>
  <si>
    <t>Alumiini, seostettu, &lt; 0.5% Si</t>
  </si>
  <si>
    <t>Alumiini, seostettu, &lt; 10% Si</t>
  </si>
  <si>
    <t>Alumiini, seostettu, &gt; 10% Si</t>
  </si>
  <si>
    <t>P = Nousu (mm)</t>
  </si>
  <si>
    <t>このプログラムでは、ツールの補正を極力おさえる方式を考えています。この方法は短い動きでＲ補正をしようする際に起こる問題を解決します。したがって、コントロールシステムの中のツールで”０”に近いものをご選定下さい。</t>
    <rPh sb="14" eb="16">
      <t/>
    </rPh>
    <rPh sb="17" eb="19">
      <t/>
    </rPh>
    <rPh sb="23" eb="25">
      <t/>
    </rPh>
    <rPh sb="26" eb="27">
      <t/>
    </rPh>
    <rPh sb="35" eb="37">
      <t/>
    </rPh>
    <rPh sb="38" eb="39">
      <t/>
    </rPh>
    <rPh sb="40" eb="41">
      <t/>
    </rPh>
    <rPh sb="44" eb="46">
      <t/>
    </rPh>
    <rPh sb="52" eb="53">
      <t/>
    </rPh>
    <rPh sb="54" eb="55">
      <t/>
    </rPh>
    <rPh sb="57" eb="59">
      <t/>
    </rPh>
    <rPh sb="60" eb="62">
      <t/>
    </rPh>
    <rPh sb="83" eb="84">
      <t/>
    </rPh>
    <rPh sb="93" eb="94">
      <t/>
    </rPh>
    <rPh sb="99" eb="101">
      <t/>
    </rPh>
    <rPh sb="101" eb="102">
      <t/>
    </rPh>
    <phoneticPr fontId="4"/>
  </si>
  <si>
    <t>您可使用本程式調整其刃徑尺寸以接近零的數據去微幅修整牙孔。</t>
    <phoneticPr fontId="4"/>
  </si>
  <si>
    <t>お客様が、１刃あるいは２刃の標準品ＮＭタイプをご選択いただくと、このプログラムは自動的にねじが完成するまでの１つの螺旋として処理します。もし、他のツールをご利用の際には、ピッチをボックス６の刃長としてご入力下さい。</t>
    <rPh sb="1" eb="3">
      <t/>
    </rPh>
    <rPh sb="6" eb="7">
      <t/>
    </rPh>
    <rPh sb="12" eb="13">
      <t/>
    </rPh>
    <rPh sb="14" eb="16">
      <t/>
    </rPh>
    <rPh sb="16" eb="17">
      <t/>
    </rPh>
    <rPh sb="24" eb="26">
      <t/>
    </rPh>
    <rPh sb="40" eb="43">
      <t/>
    </rPh>
    <rPh sb="47" eb="49">
      <t/>
    </rPh>
    <rPh sb="57" eb="59">
      <t/>
    </rPh>
    <rPh sb="62" eb="64">
      <t/>
    </rPh>
    <rPh sb="71" eb="72">
      <t/>
    </rPh>
    <rPh sb="78" eb="80">
      <t/>
    </rPh>
    <rPh sb="81" eb="82">
      <t/>
    </rPh>
    <rPh sb="96" eb="97">
      <t/>
    </rPh>
    <rPh sb="101" eb="103">
      <t/>
    </rPh>
    <rPh sb="103" eb="104">
      <t/>
    </rPh>
    <phoneticPr fontId="4"/>
  </si>
  <si>
    <t>Inwendig draadsnijden met aangedreven gereedschap</t>
  </si>
  <si>
    <t>もし刃長が要求のものより短い場合に、プログラムは自動的に数パスでねじを切ります。</t>
    <rPh sb="2" eb="3">
      <t/>
    </rPh>
    <rPh sb="3" eb="4">
      <t/>
    </rPh>
    <rPh sb="5" eb="7">
      <t/>
    </rPh>
    <rPh sb="12" eb="13">
      <t/>
    </rPh>
    <rPh sb="14" eb="16">
      <t/>
    </rPh>
    <rPh sb="24" eb="27">
      <t/>
    </rPh>
    <rPh sb="28" eb="29">
      <t/>
    </rPh>
    <rPh sb="35" eb="36">
      <t/>
    </rPh>
    <phoneticPr fontId="4"/>
  </si>
  <si>
    <r>
      <t>如果您所使用的不是程式清單中刀具，您可自行依據實際的數字去修改方塊</t>
    </r>
    <r>
      <rPr>
        <sz val="9"/>
        <rFont val="Verdana"/>
        <family val="2"/>
      </rPr>
      <t>5~7</t>
    </r>
    <r>
      <rPr>
        <sz val="9"/>
        <rFont val="細明體"/>
        <family val="3"/>
        <charset val="136"/>
      </rPr>
      <t>以取得切削數據。</t>
    </r>
    <phoneticPr fontId="4"/>
  </si>
  <si>
    <r>
      <t>如果你使用的刀具在列表中没有，你可以在第</t>
    </r>
    <r>
      <rPr>
        <sz val="9"/>
        <rFont val="Arial"/>
        <family val="2"/>
      </rPr>
      <t>5 - 7</t>
    </r>
    <r>
      <rPr>
        <sz val="9"/>
        <rFont val="宋体"/>
        <charset val="134"/>
      </rPr>
      <t>空格中直接输入刀具直径、刃长和刃数。</t>
    </r>
    <phoneticPr fontId="4"/>
  </si>
  <si>
    <t xml:space="preserve">만일 목록에 없는 툴을 사용한다면, 공구 직경, 절삭날 길이 그리고 절삭날의 숫자를  사각형 칸 5-7 에 입력할 수 있습니다. </t>
    <phoneticPr fontId="4"/>
  </si>
  <si>
    <t>Jyrsimen halkaisia joka annetaan on lähinnä vartta. Siksi täytyy kierteen halkaisia joka annetaan olla se osa työkalusta joka on kosketuksessa työkaluun.</t>
  </si>
  <si>
    <r>
      <t>當您選用</t>
    </r>
    <r>
      <rPr>
        <sz val="9"/>
        <rFont val="Verdana"/>
        <family val="2"/>
      </rPr>
      <t>NM</t>
    </r>
    <r>
      <rPr>
        <sz val="9"/>
        <rFont val="細明體"/>
        <family val="3"/>
        <charset val="136"/>
      </rPr>
      <t>型的刀具以一或二牙去銑牙時，程式會自動提供完成銑牙的數據。如果您想以其他的刀具去完成同樣的牙，只要重新登錄方塊</t>
    </r>
    <r>
      <rPr>
        <sz val="9"/>
        <rFont val="Verdana"/>
        <family val="2"/>
      </rPr>
      <t>6</t>
    </r>
    <r>
      <rPr>
        <sz val="9"/>
        <rFont val="細明體"/>
        <family val="3"/>
        <charset val="136"/>
      </rPr>
      <t>即可。</t>
    </r>
    <phoneticPr fontId="4"/>
  </si>
  <si>
    <r>
      <t>选择标准型</t>
    </r>
    <r>
      <rPr>
        <sz val="9"/>
        <rFont val="Arial"/>
        <family val="2"/>
      </rPr>
      <t>NM</t>
    </r>
    <r>
      <rPr>
        <sz val="9"/>
        <rFont val="宋体"/>
        <charset val="134"/>
      </rPr>
      <t>，软件就会自动生成螺旋加工程序并在螺纹结束的位置停止。如果想用另外一把刀做同样加工，必须记录螺距以及刃长（第</t>
    </r>
    <r>
      <rPr>
        <sz val="9"/>
        <rFont val="Arial"/>
        <family val="2"/>
      </rPr>
      <t>6</t>
    </r>
    <r>
      <rPr>
        <sz val="9"/>
        <rFont val="宋体"/>
        <charset val="134"/>
      </rPr>
      <t>空格处）。</t>
    </r>
    <phoneticPr fontId="4"/>
  </si>
  <si>
    <t>如果銑牙刀刃尺寸小於需要的刃徑，程式會自動顯示分次完成的次數。</t>
    <phoneticPr fontId="4"/>
  </si>
  <si>
    <t>ボックス５にカッタ径をご入力下さい。６にチップの刃長、７にチップの数をご入力下さい。必要に応じて、プログラムは自動的に数パスでねじを切ります。</t>
    <rPh sb="9" eb="10">
      <t/>
    </rPh>
    <rPh sb="12" eb="14">
      <t/>
    </rPh>
    <rPh sb="14" eb="15">
      <t/>
    </rPh>
    <rPh sb="24" eb="25">
      <t/>
    </rPh>
    <rPh sb="25" eb="26">
      <t/>
    </rPh>
    <rPh sb="33" eb="34">
      <t/>
    </rPh>
    <rPh sb="36" eb="38">
      <t/>
    </rPh>
    <rPh sb="38" eb="39">
      <t/>
    </rPh>
    <rPh sb="42" eb="44">
      <t/>
    </rPh>
    <rPh sb="45" eb="46">
      <t/>
    </rPh>
    <rPh sb="55" eb="58">
      <t/>
    </rPh>
    <rPh sb="59" eb="60">
      <t/>
    </rPh>
    <rPh sb="66" eb="67">
      <t/>
    </rPh>
    <phoneticPr fontId="4"/>
  </si>
  <si>
    <r>
      <t>如果需要，您可重新依據程式提示的數據再次登錄方塊</t>
    </r>
    <r>
      <rPr>
        <sz val="9"/>
        <rFont val="Verdana"/>
        <family val="2"/>
      </rPr>
      <t>5</t>
    </r>
    <r>
      <rPr>
        <sz val="9"/>
        <rFont val="細明體"/>
        <family val="3"/>
        <charset val="136"/>
      </rPr>
      <t>、</t>
    </r>
    <r>
      <rPr>
        <sz val="9"/>
        <rFont val="Verdana"/>
        <family val="2"/>
      </rPr>
      <t>6</t>
    </r>
    <r>
      <rPr>
        <sz val="9"/>
        <rFont val="細明體"/>
        <family val="3"/>
        <charset val="136"/>
      </rPr>
      <t>及</t>
    </r>
    <r>
      <rPr>
        <sz val="9"/>
        <rFont val="Verdana"/>
        <family val="2"/>
      </rPr>
      <t>7</t>
    </r>
    <r>
      <rPr>
        <sz val="9"/>
        <rFont val="細明體"/>
        <family val="3"/>
        <charset val="136"/>
      </rPr>
      <t>的數據以取得更精準的切削數據。</t>
    </r>
    <phoneticPr fontId="4"/>
  </si>
  <si>
    <r>
      <t>第</t>
    </r>
    <r>
      <rPr>
        <sz val="9"/>
        <rFont val="Arial"/>
        <family val="2"/>
      </rPr>
      <t>5</t>
    </r>
    <r>
      <rPr>
        <sz val="9"/>
        <rFont val="宋体"/>
        <charset val="134"/>
      </rPr>
      <t>空格内填入刀具直径，第</t>
    </r>
    <r>
      <rPr>
        <sz val="9"/>
        <rFont val="Arial"/>
        <family val="2"/>
      </rPr>
      <t>6</t>
    </r>
    <r>
      <rPr>
        <sz val="9"/>
        <rFont val="宋体"/>
        <charset val="134"/>
      </rPr>
      <t>空格内填入刀片的切削长度，第</t>
    </r>
    <r>
      <rPr>
        <sz val="9"/>
        <rFont val="Arial"/>
        <family val="2"/>
      </rPr>
      <t>7</t>
    </r>
    <r>
      <rPr>
        <sz val="9"/>
        <rFont val="宋体"/>
        <charset val="134"/>
      </rPr>
      <t>空格内填入刀片的数量。如果需要，软件会自动生成按多个走刀次数完成全部螺纹长度加工的数控程序。</t>
    </r>
    <phoneticPr fontId="4"/>
  </si>
  <si>
    <t xml:space="preserve">사각형 칸5 에 공구직경을, 사각형 칸6 에 인서트의 절삭가공 길이를, 사각형 칸7 에 인서트의 수를 등록하십시오. 필요하다면 프로그램은 여러번 반복해서 완전한 길이의 공구를 자동적으로 선정 할 것입니다. </t>
    <phoneticPr fontId="4"/>
  </si>
  <si>
    <t>锥度螺纹铣刀，需要填入刀具上距离柄部最近的那个完整螺纹牙型所在位置处的螺纹直径。</t>
    <phoneticPr fontId="4"/>
  </si>
  <si>
    <t>錐度銑牙刀是以大徑為尺寸去標註的，因此重新登錄實際需要的尺寸是有必要的。</t>
    <phoneticPr fontId="4"/>
  </si>
  <si>
    <t>返回</t>
    <phoneticPr fontId="4"/>
  </si>
  <si>
    <t>돌아감</t>
    <phoneticPr fontId="4"/>
  </si>
  <si>
    <t>(THAI)</t>
  </si>
  <si>
    <r>
      <t>不锈钢</t>
    </r>
    <r>
      <rPr>
        <sz val="10"/>
        <rFont val="Arial"/>
        <family val="2"/>
      </rPr>
      <t xml:space="preserve">, </t>
    </r>
    <r>
      <rPr>
        <sz val="10"/>
        <rFont val="宋体"/>
        <charset val="134"/>
      </rPr>
      <t>铁素体和奥氏体</t>
    </r>
    <phoneticPr fontId="4"/>
  </si>
  <si>
    <r>
      <t>纯铜</t>
    </r>
    <r>
      <rPr>
        <sz val="10"/>
        <rFont val="Arial"/>
        <family val="2"/>
      </rPr>
      <t>, &lt; 350 N/mm2</t>
    </r>
    <phoneticPr fontId="4"/>
  </si>
  <si>
    <r>
      <t>铜</t>
    </r>
    <r>
      <rPr>
        <sz val="10"/>
        <rFont val="Arial"/>
        <family val="2"/>
      </rPr>
      <t xml:space="preserve">, </t>
    </r>
    <r>
      <rPr>
        <sz val="10"/>
        <rFont val="宋体"/>
        <charset val="134"/>
      </rPr>
      <t>黄铜</t>
    </r>
    <r>
      <rPr>
        <sz val="10"/>
        <rFont val="Arial"/>
        <family val="2"/>
      </rPr>
      <t xml:space="preserve">, </t>
    </r>
    <r>
      <rPr>
        <sz val="10"/>
        <rFont val="宋体"/>
        <charset val="134"/>
      </rPr>
      <t>青铜</t>
    </r>
    <r>
      <rPr>
        <sz val="10"/>
        <rFont val="Arial"/>
        <family val="2"/>
      </rPr>
      <t>, &lt; 700 N/mm2</t>
    </r>
    <phoneticPr fontId="4"/>
  </si>
  <si>
    <r>
      <t>铜</t>
    </r>
    <r>
      <rPr>
        <sz val="10"/>
        <rFont val="Arial"/>
        <family val="2"/>
      </rPr>
      <t xml:space="preserve">, </t>
    </r>
    <r>
      <rPr>
        <sz val="10"/>
        <rFont val="宋体"/>
        <charset val="134"/>
      </rPr>
      <t>高强度青铜</t>
    </r>
    <r>
      <rPr>
        <sz val="10"/>
        <rFont val="Arial"/>
        <family val="2"/>
      </rPr>
      <t>, &lt; 1500 N/mm2</t>
    </r>
    <phoneticPr fontId="4"/>
  </si>
  <si>
    <t>纯铝</t>
    <phoneticPr fontId="4"/>
  </si>
  <si>
    <r>
      <t>铝合金</t>
    </r>
    <r>
      <rPr>
        <sz val="10"/>
        <rFont val="Arial"/>
        <family val="2"/>
      </rPr>
      <t>,  &lt; 0.5% Si</t>
    </r>
    <phoneticPr fontId="4"/>
  </si>
  <si>
    <r>
      <t>铝合金</t>
    </r>
    <r>
      <rPr>
        <sz val="10"/>
        <rFont val="Arial"/>
        <family val="2"/>
      </rPr>
      <t>, &lt; 10% Si</t>
    </r>
    <phoneticPr fontId="4"/>
  </si>
  <si>
    <r>
      <t>铝合金</t>
    </r>
    <r>
      <rPr>
        <sz val="10"/>
        <rFont val="Arial"/>
        <family val="2"/>
      </rPr>
      <t>, &gt; 10% Si</t>
    </r>
    <phoneticPr fontId="4"/>
  </si>
  <si>
    <r>
      <t>镍基合金</t>
    </r>
    <r>
      <rPr>
        <sz val="10"/>
        <color indexed="8"/>
        <rFont val="Arial"/>
        <family val="2"/>
      </rPr>
      <t xml:space="preserve"> Inconel 718</t>
    </r>
    <phoneticPr fontId="4"/>
  </si>
  <si>
    <t>石墨</t>
    <phoneticPr fontId="4"/>
  </si>
  <si>
    <r>
      <t>CNC</t>
    </r>
    <r>
      <rPr>
        <sz val="10"/>
        <rFont val="宋体"/>
        <charset val="134"/>
      </rPr>
      <t>程序</t>
    </r>
    <r>
      <rPr>
        <sz val="10"/>
        <rFont val="Arial"/>
        <family val="2"/>
      </rPr>
      <t xml:space="preserve">, </t>
    </r>
    <r>
      <rPr>
        <sz val="10"/>
        <rFont val="宋体"/>
        <charset val="134"/>
      </rPr>
      <t>用于海德汉数控系统</t>
    </r>
    <phoneticPr fontId="4"/>
  </si>
  <si>
    <r>
      <t>CNC</t>
    </r>
    <r>
      <rPr>
        <sz val="10"/>
        <rFont val="宋体"/>
        <charset val="134"/>
      </rPr>
      <t>程序</t>
    </r>
    <r>
      <rPr>
        <sz val="10"/>
        <rFont val="Arial"/>
        <family val="2"/>
      </rPr>
      <t xml:space="preserve">, </t>
    </r>
    <r>
      <rPr>
        <sz val="10"/>
        <rFont val="宋体"/>
        <charset val="134"/>
      </rPr>
      <t>用于西门子数控系统</t>
    </r>
    <phoneticPr fontId="4"/>
  </si>
  <si>
    <r>
      <t>CNC</t>
    </r>
    <r>
      <rPr>
        <sz val="10"/>
        <rFont val="宋体"/>
        <charset val="134"/>
      </rPr>
      <t>程序</t>
    </r>
    <r>
      <rPr>
        <sz val="10"/>
        <rFont val="Arial"/>
        <family val="2"/>
      </rPr>
      <t xml:space="preserve">,  </t>
    </r>
    <r>
      <rPr>
        <sz val="10"/>
        <rFont val="宋体"/>
        <charset val="134"/>
      </rPr>
      <t>用于</t>
    </r>
    <r>
      <rPr>
        <sz val="10"/>
        <rFont val="Arial"/>
        <family val="2"/>
      </rPr>
      <t>NUM</t>
    </r>
    <r>
      <rPr>
        <sz val="10"/>
        <rFont val="宋体"/>
        <charset val="134"/>
      </rPr>
      <t>数控系统</t>
    </r>
    <phoneticPr fontId="4"/>
  </si>
  <si>
    <r>
      <t>CNC</t>
    </r>
    <r>
      <rPr>
        <sz val="10"/>
        <rFont val="宋体"/>
        <charset val="134"/>
      </rPr>
      <t>程序</t>
    </r>
    <r>
      <rPr>
        <sz val="10"/>
        <rFont val="Arial"/>
        <family val="2"/>
      </rPr>
      <t xml:space="preserve">, </t>
    </r>
    <r>
      <rPr>
        <sz val="10"/>
        <rFont val="宋体"/>
        <charset val="134"/>
      </rPr>
      <t>用于发格数控系统</t>
    </r>
    <phoneticPr fontId="4"/>
  </si>
  <si>
    <r>
      <t>CNC</t>
    </r>
    <r>
      <rPr>
        <sz val="10"/>
        <rFont val="宋体"/>
        <charset val="134"/>
      </rPr>
      <t>程序</t>
    </r>
    <r>
      <rPr>
        <sz val="10"/>
        <rFont val="Arial"/>
        <family val="2"/>
      </rPr>
      <t xml:space="preserve">, </t>
    </r>
    <r>
      <rPr>
        <sz val="10"/>
        <rFont val="宋体"/>
        <charset val="134"/>
      </rPr>
      <t>用于马扎克数控系统</t>
    </r>
    <phoneticPr fontId="4"/>
  </si>
  <si>
    <r>
      <t>CNC</t>
    </r>
    <r>
      <rPr>
        <sz val="10"/>
        <rFont val="宋体"/>
        <charset val="134"/>
      </rPr>
      <t>程序</t>
    </r>
    <r>
      <rPr>
        <sz val="10"/>
        <rFont val="Arial"/>
        <family val="2"/>
      </rPr>
      <t xml:space="preserve">, </t>
    </r>
    <r>
      <rPr>
        <sz val="10"/>
        <rFont val="宋体"/>
        <charset val="134"/>
      </rPr>
      <t>用于三菱数控系统</t>
    </r>
    <phoneticPr fontId="4"/>
  </si>
  <si>
    <t>螺纹铣削加工</t>
    <phoneticPr fontId="4"/>
  </si>
  <si>
    <t>Lastujen määrä, axiaali</t>
  </si>
  <si>
    <t>Teräs, matala hiili, &lt; 0,25% C, &lt; 400 N/mm2</t>
  </si>
  <si>
    <t>Teräs, normaali hiili, &lt; 0,55% C, &lt; 700 N/mm2</t>
  </si>
  <si>
    <t>Teräs, korkea hiili, &lt; 0,85% C, &lt; 850 N/mm2</t>
  </si>
  <si>
    <t>Teräs, matala seos, &lt; 850 N/mm2</t>
  </si>
  <si>
    <t>Teräs, korkea seos, &lt; 1200 N/mm2</t>
  </si>
  <si>
    <t>Titaani, ei seostettu, &lt; 700 N/mm2</t>
  </si>
  <si>
    <t>Titaani, seostettu, &lt; 900 N/mm2</t>
  </si>
  <si>
    <t>가는 허리의 쓰레드 밀</t>
    <phoneticPr fontId="4"/>
  </si>
  <si>
    <t>교환용 인서트를 사용하는 쓰레드 밀링 커터</t>
    <phoneticPr fontId="4"/>
  </si>
  <si>
    <t>테이퍼 나사</t>
    <phoneticPr fontId="4"/>
  </si>
  <si>
    <r>
      <t xml:space="preserve">D = </t>
    </r>
    <r>
      <rPr>
        <sz val="10"/>
        <rFont val="宋体"/>
        <charset val="134"/>
      </rPr>
      <t>螺纹直径</t>
    </r>
    <r>
      <rPr>
        <sz val="10"/>
        <rFont val="Arial"/>
        <family val="2"/>
      </rPr>
      <t xml:space="preserve"> (mm)</t>
    </r>
    <phoneticPr fontId="4"/>
  </si>
  <si>
    <r>
      <t xml:space="preserve">P = </t>
    </r>
    <r>
      <rPr>
        <sz val="10"/>
        <rFont val="宋体"/>
        <charset val="134"/>
      </rPr>
      <t>螺距</t>
    </r>
    <r>
      <rPr>
        <sz val="10"/>
        <rFont val="Arial"/>
        <family val="2"/>
      </rPr>
      <t xml:space="preserve"> (mm)</t>
    </r>
    <phoneticPr fontId="4"/>
  </si>
  <si>
    <r>
      <t xml:space="preserve">P = </t>
    </r>
    <r>
      <rPr>
        <sz val="10"/>
        <rFont val="宋体"/>
        <charset val="134"/>
      </rPr>
      <t>螺距</t>
    </r>
    <r>
      <rPr>
        <sz val="10"/>
        <rFont val="Arial"/>
        <family val="2"/>
      </rPr>
      <t xml:space="preserve"> (TPI - </t>
    </r>
    <r>
      <rPr>
        <sz val="10"/>
        <rFont val="宋体"/>
        <charset val="134"/>
      </rPr>
      <t>每英寸牙数</t>
    </r>
    <r>
      <rPr>
        <sz val="10"/>
        <rFont val="Arial"/>
        <family val="2"/>
      </rPr>
      <t>)</t>
    </r>
    <phoneticPr fontId="4"/>
  </si>
  <si>
    <r>
      <t xml:space="preserve">Fz = </t>
    </r>
    <r>
      <rPr>
        <sz val="10"/>
        <rFont val="宋体"/>
        <charset val="134"/>
      </rPr>
      <t>每齿进给速度</t>
    </r>
    <r>
      <rPr>
        <sz val="10"/>
        <rFont val="Arial"/>
        <family val="2"/>
      </rPr>
      <t xml:space="preserve"> (mm/</t>
    </r>
    <r>
      <rPr>
        <sz val="10"/>
        <rFont val="宋体"/>
        <charset val="134"/>
      </rPr>
      <t>刃</t>
    </r>
    <r>
      <rPr>
        <sz val="10"/>
        <rFont val="Arial"/>
        <family val="2"/>
      </rPr>
      <t>)</t>
    </r>
    <phoneticPr fontId="4"/>
  </si>
  <si>
    <r>
      <t>走刀次数</t>
    </r>
    <r>
      <rPr>
        <sz val="10"/>
        <rFont val="Arial"/>
        <family val="2"/>
      </rPr>
      <t xml:space="preserve">, </t>
    </r>
    <r>
      <rPr>
        <sz val="10"/>
        <rFont val="宋体"/>
        <charset val="134"/>
      </rPr>
      <t>径向</t>
    </r>
    <r>
      <rPr>
        <sz val="10"/>
        <rFont val="Arial"/>
        <family val="2"/>
      </rPr>
      <t xml:space="preserve"> (</t>
    </r>
    <r>
      <rPr>
        <sz val="10"/>
        <rFont val="宋体"/>
        <charset val="134"/>
      </rPr>
      <t>最多</t>
    </r>
    <r>
      <rPr>
        <sz val="10"/>
        <rFont val="Arial"/>
        <family val="2"/>
      </rPr>
      <t>3</t>
    </r>
    <r>
      <rPr>
        <sz val="10"/>
        <rFont val="宋体"/>
        <charset val="134"/>
      </rPr>
      <t>次</t>
    </r>
    <r>
      <rPr>
        <sz val="10"/>
        <rFont val="Arial"/>
        <family val="2"/>
      </rPr>
      <t xml:space="preserve"> )</t>
    </r>
    <phoneticPr fontId="4"/>
  </si>
  <si>
    <t>走刀次数, 轴向</t>
    <phoneticPr fontId="4"/>
  </si>
  <si>
    <t>D = Kierteen halkaisia (mm)</t>
  </si>
  <si>
    <t>P = nousu (TPI)</t>
  </si>
  <si>
    <t>L = Kierteen pituus (mm)</t>
  </si>
  <si>
    <t>S = Turvaetäisyys (mm)</t>
  </si>
  <si>
    <t>d = Jyrsimen halkaisia (mm)</t>
  </si>
  <si>
    <t>在本软件中，刀具补偿仅用于微量调整。补偿可以去除采用半径补偿做短距离加工而可能引起的误差问题。因此应该在控制系统的刀库文件中选择一个接近于零的刀具直径补偿值。</t>
    <phoneticPr fontId="4"/>
  </si>
  <si>
    <t xml:space="preserve">이 프로그램에서, 툴링의 보정은 아주 작은 조절을 위해서 만 사용됩니다.             이것는 작은 움직임인 반경의 보정이 발생되었을 때, 문제들을 제거할 것입니다.                     그러므로 컨트롤 시스템의 툴링 라이브러리에서 공구 직경은 제로에 가까운 값을  선택하십시오. </t>
    <phoneticPr fontId="4"/>
  </si>
  <si>
    <t xml:space="preserve">오른쪽에서 가장 알맞은 언어를 선택하고 내려받은 다음 첫번째 네개의 사각형     칸을 채우십시오. 충분한 정보로 부터 정리된 프로그램은, 추천될 만한 밀링 공구의 영역을 제공할 것입니다. 당신이 공구 하나를 선택할 경우, 추천 절삭조건과 나사를     가공하는 시간을 포함한 공구에 대한 정보를 보여줄 것입니다. 완성된 CNC           프로그램을 볼 수 있을 것입니다. CNC 프로그램은 복사되어 당신의 CNC 파일 안에         붙여넣을 수 있습니다. 나머지 여섯 개의 사각형 칸은 당신이 추천값을 승인하지   않을 경우에만 완성될 것입니다. </t>
    <phoneticPr fontId="4"/>
  </si>
  <si>
    <r>
      <t xml:space="preserve">NPSF - </t>
    </r>
    <r>
      <rPr>
        <sz val="10"/>
        <rFont val="宋体"/>
        <charset val="134"/>
      </rPr>
      <t>干封美制燃料管用内直螺纹</t>
    </r>
    <phoneticPr fontId="4"/>
  </si>
  <si>
    <r>
      <t xml:space="preserve">PG - DIN40430 </t>
    </r>
    <r>
      <rPr>
        <sz val="10"/>
        <rFont val="宋体"/>
        <charset val="134"/>
      </rPr>
      <t>钢管螺纹</t>
    </r>
    <phoneticPr fontId="4"/>
  </si>
  <si>
    <r>
      <t>低碳钢</t>
    </r>
    <r>
      <rPr>
        <sz val="10"/>
        <rFont val="Arial"/>
        <family val="2"/>
      </rPr>
      <t>, &lt; 0,25% C, &lt; 400 N/mm2</t>
    </r>
    <phoneticPr fontId="4"/>
  </si>
  <si>
    <r>
      <t>低合金钢</t>
    </r>
    <r>
      <rPr>
        <sz val="10"/>
        <rFont val="Arial"/>
        <family val="2"/>
      </rPr>
      <t>, &lt; 850 N/mm2</t>
    </r>
    <phoneticPr fontId="4"/>
  </si>
  <si>
    <r>
      <t>高合金钢</t>
    </r>
    <r>
      <rPr>
        <sz val="10"/>
        <rFont val="Arial"/>
        <family val="2"/>
      </rPr>
      <t>, &lt; 1200 N/mm2</t>
    </r>
    <phoneticPr fontId="4"/>
  </si>
  <si>
    <r>
      <t>淬火钢</t>
    </r>
    <r>
      <rPr>
        <sz val="10"/>
        <rFont val="Arial"/>
        <family val="2"/>
      </rPr>
      <t>, &lt; 45 HRC</t>
    </r>
    <phoneticPr fontId="4"/>
  </si>
  <si>
    <r>
      <t>淬火钢</t>
    </r>
    <r>
      <rPr>
        <sz val="10"/>
        <rFont val="Arial"/>
        <family val="2"/>
      </rPr>
      <t>, &lt; 55 HRC</t>
    </r>
    <phoneticPr fontId="4"/>
  </si>
  <si>
    <r>
      <t>淬火钢</t>
    </r>
    <r>
      <rPr>
        <sz val="10"/>
        <rFont val="Arial"/>
        <family val="2"/>
      </rPr>
      <t>, &lt; 65 HRC</t>
    </r>
    <phoneticPr fontId="4"/>
  </si>
  <si>
    <r>
      <t>铸铁中片状石墨</t>
    </r>
    <r>
      <rPr>
        <sz val="10"/>
        <rFont val="Arial"/>
        <family val="2"/>
      </rPr>
      <t>,  &lt; 500 N/mm2</t>
    </r>
    <phoneticPr fontId="4"/>
  </si>
  <si>
    <r>
      <t>铸铁中片状石墨</t>
    </r>
    <r>
      <rPr>
        <sz val="10"/>
        <rFont val="Arial"/>
        <family val="2"/>
      </rPr>
      <t>, &lt; 1000 N/mm2</t>
    </r>
    <phoneticPr fontId="4"/>
  </si>
  <si>
    <r>
      <t>铸铁</t>
    </r>
    <r>
      <rPr>
        <sz val="10"/>
        <rFont val="Arial"/>
        <family val="2"/>
      </rPr>
      <t xml:space="preserve">, </t>
    </r>
    <r>
      <rPr>
        <sz val="10"/>
        <rFont val="宋体"/>
        <charset val="134"/>
      </rPr>
      <t>球墨铸铁</t>
    </r>
    <r>
      <rPr>
        <sz val="10"/>
        <rFont val="Arial"/>
        <family val="2"/>
      </rPr>
      <t xml:space="preserve">, </t>
    </r>
    <r>
      <rPr>
        <sz val="10"/>
        <rFont val="宋体"/>
        <charset val="134"/>
      </rPr>
      <t>可锻铸铁</t>
    </r>
    <r>
      <rPr>
        <sz val="10"/>
        <rFont val="Arial"/>
        <family val="2"/>
      </rPr>
      <t xml:space="preserve"> &lt; 700 N/mm2</t>
    </r>
    <phoneticPr fontId="4"/>
  </si>
  <si>
    <r>
      <t>铸铁</t>
    </r>
    <r>
      <rPr>
        <sz val="10"/>
        <rFont val="Arial"/>
        <family val="2"/>
      </rPr>
      <t xml:space="preserve">, </t>
    </r>
    <r>
      <rPr>
        <sz val="10"/>
        <rFont val="宋体"/>
        <charset val="134"/>
      </rPr>
      <t>球墨铸铁</t>
    </r>
    <r>
      <rPr>
        <sz val="10"/>
        <rFont val="Arial"/>
        <family val="2"/>
      </rPr>
      <t xml:space="preserve">, </t>
    </r>
    <r>
      <rPr>
        <sz val="10"/>
        <rFont val="宋体"/>
        <charset val="134"/>
      </rPr>
      <t>可锻铸铁</t>
    </r>
    <r>
      <rPr>
        <sz val="10"/>
        <rFont val="Arial"/>
        <family val="2"/>
      </rPr>
      <t xml:space="preserve"> &lt; 1000 N/mm2</t>
    </r>
    <phoneticPr fontId="4"/>
  </si>
  <si>
    <t>ピッチのネジ径はスミカット社で最適な数値を計算いたします。そして、計算上の外径はそれぞれのカッタにレーザーマークされます。その数値はカッタ径の外側のボックス(5)に表示されます。通常お客様の要望にあったカッタがすぐにご覧いただけますが、必要に応じてボックス入力して調整してください。あるいはコントロールシステムのツールライブラリをご覧下さい。</t>
    <rPh sb="6" eb="7">
      <t/>
    </rPh>
    <rPh sb="13" eb="14">
      <t/>
    </rPh>
    <rPh sb="15" eb="17">
      <t/>
    </rPh>
    <rPh sb="18" eb="20">
      <t/>
    </rPh>
    <rPh sb="21" eb="23">
      <t/>
    </rPh>
    <rPh sb="33" eb="35">
      <t/>
    </rPh>
    <rPh sb="35" eb="36">
      <t/>
    </rPh>
    <rPh sb="37" eb="38">
      <t/>
    </rPh>
    <rPh sb="38" eb="39">
      <t/>
    </rPh>
    <rPh sb="63" eb="65">
      <t/>
    </rPh>
    <rPh sb="69" eb="70">
      <t/>
    </rPh>
    <rPh sb="71" eb="73">
      <t/>
    </rPh>
    <rPh sb="82" eb="83">
      <t/>
    </rPh>
    <rPh sb="83" eb="84">
      <t/>
    </rPh>
    <rPh sb="89" eb="91">
      <t/>
    </rPh>
    <rPh sb="92" eb="94">
      <t/>
    </rPh>
    <rPh sb="95" eb="97">
      <t/>
    </rPh>
    <rPh sb="109" eb="110">
      <t/>
    </rPh>
    <phoneticPr fontId="4"/>
  </si>
  <si>
    <r>
      <t>알루미늄</t>
    </r>
    <r>
      <rPr>
        <sz val="9"/>
        <rFont val="Verdana"/>
        <family val="2"/>
      </rPr>
      <t xml:space="preserve"> </t>
    </r>
    <r>
      <rPr>
        <sz val="9"/>
        <rFont val="돋움"/>
        <family val="3"/>
      </rPr>
      <t>합금</t>
    </r>
    <r>
      <rPr>
        <sz val="9"/>
        <rFont val="Verdana"/>
        <family val="2"/>
      </rPr>
      <t xml:space="preserve">, </t>
    </r>
    <r>
      <rPr>
        <sz val="9"/>
        <rFont val="돋움"/>
        <family val="3"/>
      </rPr>
      <t>실리콘</t>
    </r>
    <r>
      <rPr>
        <sz val="9"/>
        <rFont val="Verdana"/>
        <family val="2"/>
      </rPr>
      <t xml:space="preserve"> 10% </t>
    </r>
    <r>
      <rPr>
        <sz val="9"/>
        <rFont val="돋움"/>
        <family val="3"/>
      </rPr>
      <t>이상</t>
    </r>
    <phoneticPr fontId="4"/>
  </si>
  <si>
    <r>
      <t>인코넬</t>
    </r>
    <r>
      <rPr>
        <sz val="9"/>
        <rFont val="Verdana"/>
        <family val="2"/>
      </rPr>
      <t xml:space="preserve"> 718, </t>
    </r>
    <r>
      <rPr>
        <sz val="9"/>
        <rFont val="돋움"/>
        <family val="3"/>
      </rPr>
      <t>초합금</t>
    </r>
    <phoneticPr fontId="4"/>
  </si>
  <si>
    <t>흑연</t>
    <phoneticPr fontId="4"/>
  </si>
  <si>
    <r>
      <t xml:space="preserve">D = </t>
    </r>
    <r>
      <rPr>
        <sz val="9"/>
        <rFont val="돋움"/>
        <family val="3"/>
      </rPr>
      <t>나사</t>
    </r>
    <r>
      <rPr>
        <sz val="9"/>
        <rFont val="Verdana"/>
        <family val="2"/>
      </rPr>
      <t xml:space="preserve"> </t>
    </r>
    <r>
      <rPr>
        <sz val="9"/>
        <rFont val="돋움"/>
        <family val="3"/>
      </rPr>
      <t>직경</t>
    </r>
    <r>
      <rPr>
        <sz val="9"/>
        <rFont val="Verdana"/>
        <family val="2"/>
      </rPr>
      <t xml:space="preserve"> (mm)</t>
    </r>
    <phoneticPr fontId="4"/>
  </si>
  <si>
    <r>
      <t xml:space="preserve">L = </t>
    </r>
    <r>
      <rPr>
        <sz val="9"/>
        <rFont val="돋움"/>
        <family val="3"/>
      </rPr>
      <t>나사</t>
    </r>
    <r>
      <rPr>
        <sz val="9"/>
        <rFont val="Verdana"/>
        <family val="2"/>
      </rPr>
      <t xml:space="preserve"> </t>
    </r>
    <r>
      <rPr>
        <sz val="9"/>
        <rFont val="돋움"/>
        <family val="3"/>
      </rPr>
      <t>길이</t>
    </r>
    <r>
      <rPr>
        <sz val="9"/>
        <rFont val="Verdana"/>
        <family val="2"/>
      </rPr>
      <t xml:space="preserve"> (mm)</t>
    </r>
    <phoneticPr fontId="4"/>
  </si>
  <si>
    <t>ねじの径はすぐにご修正下さい</t>
    <rPh sb="3" eb="4">
      <t/>
    </rPh>
    <rPh sb="9" eb="11">
      <t/>
    </rPh>
    <rPh sb="11" eb="12">
      <t/>
    </rPh>
    <phoneticPr fontId="4"/>
  </si>
  <si>
    <t>リスト外ツールとスペシャルツール</t>
    <rPh sb="3" eb="4">
      <t/>
    </rPh>
    <phoneticPr fontId="4"/>
  </si>
  <si>
    <t>もし、お客様がリスト外ツールをご利用の際には、カッタ径、刃長、刃数をボックス５－７にご入力下さい。</t>
    <rPh sb="4" eb="6">
      <t/>
    </rPh>
    <rPh sb="10" eb="11">
      <t/>
    </rPh>
    <rPh sb="16" eb="18">
      <t/>
    </rPh>
    <rPh sb="19" eb="20">
      <t/>
    </rPh>
    <rPh sb="26" eb="27">
      <t/>
    </rPh>
    <rPh sb="28" eb="29">
      <t/>
    </rPh>
    <rPh sb="29" eb="30">
      <t/>
    </rPh>
    <rPh sb="31" eb="32">
      <t/>
    </rPh>
    <rPh sb="32" eb="33">
      <t/>
    </rPh>
    <rPh sb="43" eb="45">
      <t/>
    </rPh>
    <rPh sb="45" eb="46">
      <t/>
    </rPh>
    <phoneticPr fontId="4"/>
  </si>
  <si>
    <t>Valitse kieli täytä neljä ensimmäistä ruutua. Näin avautuu ohjelma ja ehdottaa sopivia työkaluja. Kun olet vallinnut työkalun tulee näyttöön työkalu, työstöarvot sekä työstöaika. loput ruudut täytetään vain jos et noudata sousiteltuja työstöarvoja.</t>
  </si>
  <si>
    <t>每刃有一个或两个牙（单牙或双牙）的螺纹铣刀</t>
    <phoneticPr fontId="4"/>
  </si>
  <si>
    <t>缩颈螺纹铣刀</t>
    <phoneticPr fontId="4"/>
  </si>
  <si>
    <t>可转位螺纹铣刀</t>
    <phoneticPr fontId="4"/>
  </si>
  <si>
    <t>툴링의 보정</t>
    <phoneticPr fontId="4"/>
  </si>
  <si>
    <t>빠른 나사 직경의 수정</t>
    <phoneticPr fontId="4"/>
  </si>
  <si>
    <t>목록에 없는 스페셜 툴링</t>
    <phoneticPr fontId="4"/>
  </si>
  <si>
    <t>절삭날당 하나 또는 두개의 이를 가진 쓰레드 밀</t>
    <phoneticPr fontId="4"/>
  </si>
  <si>
    <t>如果螺纹铣刀的刃长短于要加工的螺纹长度，软件会自动生成分步加工螺纹的数控程序。</t>
    <phoneticPr fontId="4"/>
  </si>
  <si>
    <t>만일 쓰레드 밀이 요구되는 길이보다 짧은 커팅 길이라면, 프로그램은 여러 번 반복해서 공구를 자동적으로 선정 할 것 입니다.</t>
    <phoneticPr fontId="4"/>
  </si>
  <si>
    <t>表の切削条件はあくまでも起点の設定条件です。機械の剛性、工具の周辺設備等、諸条件に応じて切削速度、送りを上下させてください。尚、スミカット社は品質と併せて安全な製品作りを進めています。ソフトウェアによるＣＮＣプログラム切削条件で加工を行った際の損傷には、スミカット社は一切責任を負いません。ご活用に際しては、上記の点を注意していただきご愛顧のほどお願いいたします。</t>
    <rPh sb="0" eb="1">
      <t/>
    </rPh>
    <rPh sb="2" eb="4">
      <t/>
    </rPh>
    <rPh sb="4" eb="6">
      <t/>
    </rPh>
    <rPh sb="12" eb="14">
      <t/>
    </rPh>
    <rPh sb="15" eb="17">
      <t/>
    </rPh>
    <rPh sb="17" eb="19">
      <t/>
    </rPh>
    <rPh sb="22" eb="24">
      <t/>
    </rPh>
    <rPh sb="25" eb="27">
      <t/>
    </rPh>
    <rPh sb="28" eb="30">
      <t/>
    </rPh>
    <rPh sb="31" eb="33">
      <t/>
    </rPh>
    <rPh sb="33" eb="35">
      <t/>
    </rPh>
    <rPh sb="35" eb="36">
      <t/>
    </rPh>
    <rPh sb="37" eb="40">
      <t/>
    </rPh>
    <rPh sb="41" eb="42">
      <t/>
    </rPh>
    <rPh sb="44" eb="46">
      <t/>
    </rPh>
    <rPh sb="46" eb="48">
      <t/>
    </rPh>
    <rPh sb="49" eb="50">
      <t/>
    </rPh>
    <rPh sb="52" eb="54">
      <t/>
    </rPh>
    <rPh sb="62" eb="63">
      <t/>
    </rPh>
    <rPh sb="69" eb="70">
      <t/>
    </rPh>
    <rPh sb="71" eb="73">
      <t/>
    </rPh>
    <rPh sb="74" eb="75">
      <t/>
    </rPh>
    <rPh sb="77" eb="79">
      <t/>
    </rPh>
    <rPh sb="80" eb="82">
      <t/>
    </rPh>
    <rPh sb="82" eb="83">
      <t/>
    </rPh>
    <rPh sb="85" eb="86">
      <t/>
    </rPh>
    <rPh sb="109" eb="111">
      <t/>
    </rPh>
    <rPh sb="111" eb="113">
      <t/>
    </rPh>
    <rPh sb="114" eb="116">
      <t/>
    </rPh>
    <rPh sb="117" eb="118">
      <t/>
    </rPh>
    <rPh sb="120" eb="121">
      <t/>
    </rPh>
    <rPh sb="122" eb="124">
      <t/>
    </rPh>
    <rPh sb="132" eb="133">
      <t/>
    </rPh>
    <rPh sb="134" eb="136">
      <t/>
    </rPh>
    <rPh sb="136" eb="138">
      <t/>
    </rPh>
    <rPh sb="139" eb="140">
      <t/>
    </rPh>
    <rPh sb="146" eb="148">
      <t/>
    </rPh>
    <rPh sb="149" eb="150">
      <t/>
    </rPh>
    <rPh sb="154" eb="156">
      <t/>
    </rPh>
    <rPh sb="157" eb="158">
      <t/>
    </rPh>
    <rPh sb="159" eb="161">
      <t/>
    </rPh>
    <rPh sb="168" eb="170">
      <t/>
    </rPh>
    <rPh sb="174" eb="175">
      <t/>
    </rPh>
    <phoneticPr fontId="4"/>
  </si>
  <si>
    <r>
      <t>알루미늄</t>
    </r>
    <r>
      <rPr>
        <sz val="9"/>
        <rFont val="Verdana"/>
        <family val="2"/>
      </rPr>
      <t xml:space="preserve"> </t>
    </r>
    <r>
      <rPr>
        <sz val="9"/>
        <rFont val="돋움"/>
        <family val="3"/>
      </rPr>
      <t>합금</t>
    </r>
    <r>
      <rPr>
        <sz val="9"/>
        <rFont val="Verdana"/>
        <family val="2"/>
      </rPr>
      <t xml:space="preserve">, </t>
    </r>
    <r>
      <rPr>
        <sz val="9"/>
        <rFont val="돋움"/>
        <family val="3"/>
      </rPr>
      <t>실리콘</t>
    </r>
    <r>
      <rPr>
        <sz val="9"/>
        <rFont val="Verdana"/>
        <family val="2"/>
      </rPr>
      <t xml:space="preserve"> 0.5% </t>
    </r>
    <r>
      <rPr>
        <sz val="9"/>
        <rFont val="돋움"/>
        <family val="3"/>
      </rPr>
      <t>이하</t>
    </r>
    <phoneticPr fontId="4"/>
  </si>
  <si>
    <r>
      <t>알루미늄</t>
    </r>
    <r>
      <rPr>
        <sz val="9"/>
        <rFont val="Verdana"/>
        <family val="2"/>
      </rPr>
      <t xml:space="preserve"> </t>
    </r>
    <r>
      <rPr>
        <sz val="9"/>
        <rFont val="돋움"/>
        <family val="3"/>
      </rPr>
      <t>합금</t>
    </r>
    <r>
      <rPr>
        <sz val="9"/>
        <rFont val="Verdana"/>
        <family val="2"/>
      </rPr>
      <t xml:space="preserve">, </t>
    </r>
    <r>
      <rPr>
        <sz val="9"/>
        <rFont val="돋움"/>
        <family val="3"/>
      </rPr>
      <t>실리콘</t>
    </r>
    <r>
      <rPr>
        <sz val="9"/>
        <rFont val="Verdana"/>
        <family val="2"/>
      </rPr>
      <t xml:space="preserve"> 10% </t>
    </r>
    <r>
      <rPr>
        <sz val="9"/>
        <rFont val="돋움"/>
        <family val="3"/>
      </rPr>
      <t>이하</t>
    </r>
    <phoneticPr fontId="4"/>
  </si>
  <si>
    <t>M - Filettatura Metrica</t>
  </si>
  <si>
    <t>UN - Filettatura Americana</t>
  </si>
  <si>
    <t>BSPT - Filettatura Gas conica</t>
  </si>
  <si>
    <t>NPTF - Filettatura per tubi conica Americana (a tenuta stagna)</t>
  </si>
  <si>
    <t>NPSF - Filettatura per tubi conica Americana (non stagna)</t>
  </si>
  <si>
    <t>PG - Filettatura per tubi elettrici corazzati</t>
  </si>
  <si>
    <t>G - Whitworth, filettatura Gas per tubi</t>
  </si>
  <si>
    <t>NPT - Filettatura per tubi conica Americana</t>
  </si>
  <si>
    <r>
      <t xml:space="preserve">NPSF - </t>
    </r>
    <r>
      <rPr>
        <sz val="9"/>
        <rFont val="돋움"/>
        <family val="3"/>
      </rPr>
      <t>관용</t>
    </r>
    <r>
      <rPr>
        <sz val="9"/>
        <rFont val="Verdana"/>
        <family val="2"/>
      </rPr>
      <t xml:space="preserve"> </t>
    </r>
    <r>
      <rPr>
        <sz val="9"/>
        <rFont val="돋움"/>
        <family val="3"/>
      </rPr>
      <t>평행</t>
    </r>
    <r>
      <rPr>
        <sz val="9"/>
        <rFont val="Verdana"/>
        <family val="2"/>
      </rPr>
      <t xml:space="preserve"> </t>
    </r>
    <r>
      <rPr>
        <sz val="9"/>
        <rFont val="돋움"/>
        <family val="3"/>
      </rPr>
      <t>나사</t>
    </r>
    <phoneticPr fontId="4"/>
  </si>
  <si>
    <t>锥形螺纹</t>
  </si>
  <si>
    <t>中文(简体) (kinesiska, förenklad)</t>
  </si>
  <si>
    <t>中文(简体)</t>
  </si>
  <si>
    <r>
      <t xml:space="preserve">PG - </t>
    </r>
    <r>
      <rPr>
        <sz val="9"/>
        <rFont val="돋움"/>
        <family val="3"/>
      </rPr>
      <t>전선관용</t>
    </r>
    <r>
      <rPr>
        <sz val="9"/>
        <rFont val="Verdana"/>
        <family val="2"/>
      </rPr>
      <t xml:space="preserve"> </t>
    </r>
    <r>
      <rPr>
        <sz val="9"/>
        <rFont val="돋움"/>
        <family val="3"/>
      </rPr>
      <t>나사</t>
    </r>
    <phoneticPr fontId="4"/>
  </si>
  <si>
    <r>
      <t>저탄소강</t>
    </r>
    <r>
      <rPr>
        <sz val="9"/>
        <rFont val="Verdana"/>
        <family val="2"/>
      </rPr>
      <t xml:space="preserve">, </t>
    </r>
    <r>
      <rPr>
        <sz val="9"/>
        <rFont val="돋움"/>
        <family val="3"/>
      </rPr>
      <t>탄소</t>
    </r>
    <r>
      <rPr>
        <sz val="9"/>
        <rFont val="Verdana"/>
        <family val="2"/>
      </rPr>
      <t xml:space="preserve"> 0,25% </t>
    </r>
    <r>
      <rPr>
        <sz val="9"/>
        <rFont val="돋움"/>
        <family val="3"/>
      </rPr>
      <t>이하</t>
    </r>
    <r>
      <rPr>
        <sz val="9"/>
        <rFont val="Verdana"/>
        <family val="2"/>
      </rPr>
      <t xml:space="preserve">, </t>
    </r>
    <r>
      <rPr>
        <sz val="9"/>
        <rFont val="돋움"/>
        <family val="3"/>
      </rPr>
      <t>인장강도</t>
    </r>
    <r>
      <rPr>
        <sz val="9"/>
        <rFont val="Verdana"/>
        <family val="2"/>
      </rPr>
      <t xml:space="preserve"> 40 Kg/mm2 </t>
    </r>
    <r>
      <rPr>
        <sz val="9"/>
        <rFont val="돋움"/>
        <family val="3"/>
      </rPr>
      <t>이하</t>
    </r>
    <phoneticPr fontId="4"/>
  </si>
  <si>
    <r>
      <t>중탄소강</t>
    </r>
    <r>
      <rPr>
        <sz val="9"/>
        <rFont val="Verdana"/>
        <family val="2"/>
      </rPr>
      <t xml:space="preserve">, </t>
    </r>
    <r>
      <rPr>
        <sz val="9"/>
        <rFont val="돋움"/>
        <family val="3"/>
      </rPr>
      <t>탄소</t>
    </r>
    <r>
      <rPr>
        <sz val="9"/>
        <rFont val="Verdana"/>
        <family val="2"/>
      </rPr>
      <t xml:space="preserve"> 0,55% </t>
    </r>
    <r>
      <rPr>
        <sz val="9"/>
        <rFont val="돋움"/>
        <family val="3"/>
      </rPr>
      <t>이하</t>
    </r>
    <r>
      <rPr>
        <sz val="9"/>
        <rFont val="Verdana"/>
        <family val="2"/>
      </rPr>
      <t xml:space="preserve">, </t>
    </r>
    <r>
      <rPr>
        <sz val="9"/>
        <rFont val="돋움"/>
        <family val="3"/>
      </rPr>
      <t>인장강도</t>
    </r>
    <r>
      <rPr>
        <sz val="9"/>
        <rFont val="Verdana"/>
        <family val="2"/>
      </rPr>
      <t xml:space="preserve"> 70 Kg/mm2 </t>
    </r>
    <r>
      <rPr>
        <sz val="9"/>
        <rFont val="돋움"/>
        <family val="3"/>
      </rPr>
      <t>이하</t>
    </r>
    <phoneticPr fontId="4"/>
  </si>
  <si>
    <r>
      <t>고탄소강</t>
    </r>
    <r>
      <rPr>
        <sz val="9"/>
        <rFont val="Verdana"/>
        <family val="2"/>
      </rPr>
      <t xml:space="preserve">, </t>
    </r>
    <r>
      <rPr>
        <sz val="9"/>
        <rFont val="돋움"/>
        <family val="3"/>
      </rPr>
      <t>탄소</t>
    </r>
    <r>
      <rPr>
        <sz val="9"/>
        <rFont val="Verdana"/>
        <family val="2"/>
      </rPr>
      <t xml:space="preserve"> 0,85% </t>
    </r>
    <r>
      <rPr>
        <sz val="9"/>
        <rFont val="돋움"/>
        <family val="3"/>
      </rPr>
      <t>이하</t>
    </r>
    <r>
      <rPr>
        <sz val="9"/>
        <rFont val="Verdana"/>
        <family val="2"/>
      </rPr>
      <t xml:space="preserve">, </t>
    </r>
    <r>
      <rPr>
        <sz val="9"/>
        <rFont val="돋움"/>
        <family val="3"/>
      </rPr>
      <t>인장강도</t>
    </r>
    <r>
      <rPr>
        <sz val="9"/>
        <rFont val="Verdana"/>
        <family val="2"/>
      </rPr>
      <t xml:space="preserve"> 85 Kg/mm2 </t>
    </r>
    <r>
      <rPr>
        <sz val="9"/>
        <rFont val="돋움"/>
        <family val="3"/>
      </rPr>
      <t>이하</t>
    </r>
    <phoneticPr fontId="4"/>
  </si>
  <si>
    <r>
      <t>저합금강</t>
    </r>
    <r>
      <rPr>
        <sz val="9"/>
        <rFont val="Verdana"/>
        <family val="2"/>
      </rPr>
      <t xml:space="preserve">, </t>
    </r>
    <r>
      <rPr>
        <sz val="9"/>
        <rFont val="돋움"/>
        <family val="3"/>
      </rPr>
      <t>인장강도</t>
    </r>
    <r>
      <rPr>
        <sz val="9"/>
        <rFont val="Verdana"/>
        <family val="2"/>
      </rPr>
      <t xml:space="preserve"> 85 Kg/mm2 </t>
    </r>
    <r>
      <rPr>
        <sz val="9"/>
        <rFont val="돋움"/>
        <family val="3"/>
      </rPr>
      <t>이하</t>
    </r>
    <phoneticPr fontId="4"/>
  </si>
  <si>
    <r>
      <t>고합금강</t>
    </r>
    <r>
      <rPr>
        <sz val="9"/>
        <rFont val="Verdana"/>
        <family val="2"/>
      </rPr>
      <t xml:space="preserve">, </t>
    </r>
    <r>
      <rPr>
        <sz val="9"/>
        <rFont val="돋움"/>
        <family val="3"/>
      </rPr>
      <t>인장강도</t>
    </r>
    <r>
      <rPr>
        <sz val="9"/>
        <rFont val="Verdana"/>
        <family val="2"/>
      </rPr>
      <t xml:space="preserve"> 120 Kg/mm2 </t>
    </r>
    <r>
      <rPr>
        <sz val="9"/>
        <rFont val="돋움"/>
        <family val="3"/>
      </rPr>
      <t>이하</t>
    </r>
    <phoneticPr fontId="4"/>
  </si>
  <si>
    <r>
      <t>请在使用前阅读</t>
    </r>
    <r>
      <rPr>
        <sz val="10"/>
        <rFont val="Arial"/>
        <family val="2"/>
      </rPr>
      <t>!</t>
    </r>
    <phoneticPr fontId="4"/>
  </si>
  <si>
    <r>
      <t>警告</t>
    </r>
    <r>
      <rPr>
        <sz val="10"/>
        <rFont val="Arial"/>
        <family val="2"/>
      </rPr>
      <t>!</t>
    </r>
    <phoneticPr fontId="4"/>
  </si>
  <si>
    <t>如何使用软件</t>
    <phoneticPr fontId="4"/>
  </si>
  <si>
    <t>刀具补偿</t>
    <phoneticPr fontId="4"/>
  </si>
  <si>
    <t>即时修正螺纹直径</t>
    <phoneticPr fontId="4"/>
  </si>
  <si>
    <t>非标刀具或表中未列出的刀具</t>
    <phoneticPr fontId="4"/>
  </si>
  <si>
    <r>
      <t>구상흑연</t>
    </r>
    <r>
      <rPr>
        <sz val="9"/>
        <rFont val="Verdana"/>
        <family val="2"/>
      </rPr>
      <t xml:space="preserve"> </t>
    </r>
    <r>
      <rPr>
        <sz val="9"/>
        <rFont val="돋움"/>
        <family val="3"/>
      </rPr>
      <t>주철</t>
    </r>
    <r>
      <rPr>
        <sz val="9"/>
        <rFont val="Verdana"/>
        <family val="2"/>
      </rPr>
      <t xml:space="preserve">, </t>
    </r>
    <r>
      <rPr>
        <sz val="9"/>
        <rFont val="돋움"/>
        <family val="3"/>
      </rPr>
      <t>인장강도</t>
    </r>
    <r>
      <rPr>
        <sz val="9"/>
        <rFont val="Verdana"/>
        <family val="2"/>
      </rPr>
      <t xml:space="preserve"> 100 Kg/mm2 </t>
    </r>
    <r>
      <rPr>
        <sz val="9"/>
        <rFont val="돋움"/>
        <family val="3"/>
      </rPr>
      <t>이하</t>
    </r>
    <phoneticPr fontId="4"/>
  </si>
  <si>
    <t>스테인리스 스틸(쾌삭용)</t>
    <phoneticPr fontId="4"/>
  </si>
  <si>
    <r>
      <t>스테인리스</t>
    </r>
    <r>
      <rPr>
        <sz val="9"/>
        <rFont val="Verdana"/>
        <family val="2"/>
      </rPr>
      <t xml:space="preserve"> </t>
    </r>
    <r>
      <rPr>
        <sz val="9"/>
        <rFont val="돋움"/>
        <family val="3"/>
      </rPr>
      <t>스틸</t>
    </r>
    <r>
      <rPr>
        <sz val="9"/>
        <rFont val="Verdana"/>
        <family val="2"/>
      </rPr>
      <t xml:space="preserve">, SUS 3xx </t>
    </r>
    <r>
      <rPr>
        <sz val="9"/>
        <rFont val="돋움"/>
        <family val="3"/>
      </rPr>
      <t>계열</t>
    </r>
    <phoneticPr fontId="4"/>
  </si>
  <si>
    <t>스테인리스 스틸, SUS 4xx 계열</t>
    <phoneticPr fontId="4"/>
  </si>
  <si>
    <r>
      <t>순수</t>
    </r>
    <r>
      <rPr>
        <sz val="9"/>
        <rFont val="Verdana"/>
        <family val="2"/>
      </rPr>
      <t xml:space="preserve"> </t>
    </r>
    <r>
      <rPr>
        <sz val="9"/>
        <rFont val="돋움"/>
        <family val="3"/>
      </rPr>
      <t>티타늄</t>
    </r>
    <r>
      <rPr>
        <sz val="9"/>
        <rFont val="Verdana"/>
        <family val="2"/>
      </rPr>
      <t xml:space="preserve">, </t>
    </r>
    <r>
      <rPr>
        <sz val="9"/>
        <rFont val="돋움"/>
        <family val="3"/>
      </rPr>
      <t>인장강도</t>
    </r>
    <r>
      <rPr>
        <sz val="9"/>
        <rFont val="Verdana"/>
        <family val="2"/>
      </rPr>
      <t xml:space="preserve"> 70 Kg/mm2 </t>
    </r>
    <r>
      <rPr>
        <sz val="9"/>
        <rFont val="돋움"/>
        <family val="3"/>
      </rPr>
      <t>이하</t>
    </r>
    <phoneticPr fontId="4"/>
  </si>
  <si>
    <r>
      <t>열처리강</t>
    </r>
    <r>
      <rPr>
        <sz val="9"/>
        <rFont val="Verdana"/>
        <family val="2"/>
      </rPr>
      <t xml:space="preserve">, </t>
    </r>
    <r>
      <rPr>
        <sz val="9"/>
        <rFont val="돋움"/>
        <family val="3"/>
      </rPr>
      <t>경도</t>
    </r>
    <r>
      <rPr>
        <sz val="9"/>
        <rFont val="Verdana"/>
        <family val="2"/>
      </rPr>
      <t xml:space="preserve"> HRC 45 </t>
    </r>
    <r>
      <rPr>
        <sz val="9"/>
        <rFont val="돋움"/>
        <family val="3"/>
      </rPr>
      <t>이하</t>
    </r>
    <phoneticPr fontId="4"/>
  </si>
  <si>
    <r>
      <t>열처리강</t>
    </r>
    <r>
      <rPr>
        <sz val="9"/>
        <rFont val="Verdana"/>
        <family val="2"/>
      </rPr>
      <t xml:space="preserve">, </t>
    </r>
    <r>
      <rPr>
        <sz val="9"/>
        <rFont val="돋움"/>
        <family val="3"/>
      </rPr>
      <t>경도</t>
    </r>
    <r>
      <rPr>
        <sz val="9"/>
        <rFont val="Verdana"/>
        <family val="2"/>
      </rPr>
      <t xml:space="preserve"> HRC 55 </t>
    </r>
    <r>
      <rPr>
        <sz val="9"/>
        <rFont val="돋움"/>
        <family val="3"/>
      </rPr>
      <t>이하</t>
    </r>
    <phoneticPr fontId="4"/>
  </si>
  <si>
    <r>
      <t>열처리강</t>
    </r>
    <r>
      <rPr>
        <sz val="9"/>
        <rFont val="Verdana"/>
        <family val="2"/>
      </rPr>
      <t xml:space="preserve">, </t>
    </r>
    <r>
      <rPr>
        <sz val="9"/>
        <rFont val="돋움"/>
        <family val="3"/>
      </rPr>
      <t>경도</t>
    </r>
    <r>
      <rPr>
        <sz val="9"/>
        <rFont val="Verdana"/>
        <family val="2"/>
      </rPr>
      <t xml:space="preserve"> HRC 65 </t>
    </r>
    <r>
      <rPr>
        <sz val="9"/>
        <rFont val="돋움"/>
        <family val="3"/>
      </rPr>
      <t>이하</t>
    </r>
    <phoneticPr fontId="4"/>
  </si>
  <si>
    <r>
      <t>주철</t>
    </r>
    <r>
      <rPr>
        <sz val="9"/>
        <rFont val="Verdana"/>
        <family val="2"/>
      </rPr>
      <t xml:space="preserve">, </t>
    </r>
    <r>
      <rPr>
        <sz val="9"/>
        <rFont val="돋움"/>
        <family val="3"/>
      </rPr>
      <t>인장강도</t>
    </r>
    <r>
      <rPr>
        <sz val="9"/>
        <rFont val="Verdana"/>
        <family val="2"/>
      </rPr>
      <t xml:space="preserve"> 100 Kg/mm2 </t>
    </r>
    <r>
      <rPr>
        <sz val="9"/>
        <rFont val="돋움"/>
        <family val="3"/>
      </rPr>
      <t>이하</t>
    </r>
    <phoneticPr fontId="4"/>
  </si>
  <si>
    <r>
      <t>구상흑연</t>
    </r>
    <r>
      <rPr>
        <sz val="9"/>
        <rFont val="Verdana"/>
        <family val="2"/>
      </rPr>
      <t xml:space="preserve"> </t>
    </r>
    <r>
      <rPr>
        <sz val="9"/>
        <rFont val="돋움"/>
        <family val="3"/>
      </rPr>
      <t>주철</t>
    </r>
    <r>
      <rPr>
        <sz val="9"/>
        <rFont val="Verdana"/>
        <family val="2"/>
      </rPr>
      <t xml:space="preserve">, </t>
    </r>
    <r>
      <rPr>
        <sz val="9"/>
        <rFont val="돋움"/>
        <family val="3"/>
      </rPr>
      <t>인장강도</t>
    </r>
    <r>
      <rPr>
        <sz val="9"/>
        <rFont val="Verdana"/>
        <family val="2"/>
      </rPr>
      <t xml:space="preserve"> 70 Kg/mm2 </t>
    </r>
    <r>
      <rPr>
        <sz val="9"/>
        <rFont val="돋움"/>
        <family val="3"/>
      </rPr>
      <t>이하</t>
    </r>
    <phoneticPr fontId="4"/>
  </si>
  <si>
    <r>
      <t xml:space="preserve">N = </t>
    </r>
    <r>
      <rPr>
        <sz val="10"/>
        <rFont val="宋体"/>
        <charset val="134"/>
      </rPr>
      <t>主轴转速</t>
    </r>
    <r>
      <rPr>
        <sz val="10"/>
        <rFont val="Arial"/>
        <family val="2"/>
      </rPr>
      <t xml:space="preserve"> (rpm)</t>
    </r>
    <phoneticPr fontId="4"/>
  </si>
  <si>
    <r>
      <t xml:space="preserve">FD = </t>
    </r>
    <r>
      <rPr>
        <sz val="10"/>
        <rFont val="宋体"/>
        <charset val="134"/>
      </rPr>
      <t>直径进给速度</t>
    </r>
    <r>
      <rPr>
        <sz val="10"/>
        <rFont val="Arial"/>
        <family val="2"/>
      </rPr>
      <t xml:space="preserve"> (mm/min)</t>
    </r>
    <phoneticPr fontId="4"/>
  </si>
  <si>
    <r>
      <t xml:space="preserve">Fd = </t>
    </r>
    <r>
      <rPr>
        <sz val="10"/>
        <rFont val="宋体"/>
        <charset val="134"/>
      </rPr>
      <t>中心进给速度</t>
    </r>
    <r>
      <rPr>
        <sz val="10"/>
        <rFont val="Arial"/>
        <family val="2"/>
      </rPr>
      <t xml:space="preserve"> (mm/min)</t>
    </r>
    <phoneticPr fontId="4"/>
  </si>
  <si>
    <r>
      <t xml:space="preserve">T = </t>
    </r>
    <r>
      <rPr>
        <sz val="10"/>
        <rFont val="宋体"/>
        <charset val="134"/>
      </rPr>
      <t>螺纹加工时间</t>
    </r>
    <r>
      <rPr>
        <sz val="10"/>
        <rFont val="Arial"/>
        <family val="2"/>
      </rPr>
      <t xml:space="preserve"> (</t>
    </r>
    <r>
      <rPr>
        <sz val="10"/>
        <rFont val="宋体"/>
        <charset val="134"/>
      </rPr>
      <t>秒</t>
    </r>
    <r>
      <rPr>
        <sz val="10"/>
        <rFont val="Arial"/>
        <family val="2"/>
      </rPr>
      <t>)</t>
    </r>
    <phoneticPr fontId="4"/>
  </si>
  <si>
    <r>
      <t>CNC</t>
    </r>
    <r>
      <rPr>
        <sz val="10"/>
        <rFont val="宋体"/>
        <charset val="134"/>
      </rPr>
      <t>程序</t>
    </r>
    <r>
      <rPr>
        <sz val="10"/>
        <rFont val="Arial"/>
        <family val="2"/>
      </rPr>
      <t xml:space="preserve">, </t>
    </r>
    <r>
      <rPr>
        <sz val="10"/>
        <rFont val="宋体"/>
        <charset val="134"/>
      </rPr>
      <t>用于发那科数控系统</t>
    </r>
    <phoneticPr fontId="4"/>
  </si>
  <si>
    <t>采用加工中心铣削内螺纹</t>
    <phoneticPr fontId="4"/>
  </si>
  <si>
    <t>采用车削中心铣削内螺纹</t>
    <phoneticPr fontId="4"/>
  </si>
  <si>
    <r>
      <t>发那科</t>
    </r>
    <r>
      <rPr>
        <sz val="10"/>
        <rFont val="Arial"/>
        <family val="2"/>
      </rPr>
      <t xml:space="preserve"> (</t>
    </r>
    <r>
      <rPr>
        <sz val="10"/>
        <rFont val="宋体"/>
        <charset val="134"/>
      </rPr>
      <t>日本数控系统</t>
    </r>
    <r>
      <rPr>
        <sz val="10"/>
        <rFont val="Arial"/>
        <family val="2"/>
      </rPr>
      <t>)</t>
    </r>
    <phoneticPr fontId="4"/>
  </si>
  <si>
    <r>
      <t>海德汉</t>
    </r>
    <r>
      <rPr>
        <sz val="10"/>
        <rFont val="Arial"/>
        <family val="2"/>
      </rPr>
      <t xml:space="preserve"> (</t>
    </r>
    <r>
      <rPr>
        <sz val="10"/>
        <rFont val="宋体"/>
        <charset val="134"/>
      </rPr>
      <t>德国数控系统</t>
    </r>
    <r>
      <rPr>
        <sz val="10"/>
        <rFont val="Arial"/>
        <family val="2"/>
      </rPr>
      <t>)</t>
    </r>
    <phoneticPr fontId="4"/>
  </si>
  <si>
    <r>
      <t>西门子</t>
    </r>
    <r>
      <rPr>
        <sz val="10"/>
        <rFont val="Arial"/>
        <family val="2"/>
      </rPr>
      <t xml:space="preserve"> (</t>
    </r>
    <r>
      <rPr>
        <sz val="10"/>
        <rFont val="宋体"/>
        <charset val="134"/>
      </rPr>
      <t>德国数控系统</t>
    </r>
    <r>
      <rPr>
        <sz val="10"/>
        <rFont val="Arial"/>
        <family val="2"/>
      </rPr>
      <t>)</t>
    </r>
    <phoneticPr fontId="4"/>
  </si>
  <si>
    <r>
      <t>NUM (</t>
    </r>
    <r>
      <rPr>
        <sz val="10"/>
        <rFont val="宋体"/>
        <charset val="134"/>
      </rPr>
      <t>法国数控系统</t>
    </r>
    <r>
      <rPr>
        <sz val="10"/>
        <rFont val="Arial"/>
        <family val="2"/>
      </rPr>
      <t xml:space="preserve">, </t>
    </r>
    <r>
      <rPr>
        <sz val="10"/>
        <rFont val="宋体"/>
        <charset val="134"/>
      </rPr>
      <t>施耐德电气的子公司</t>
    </r>
    <r>
      <rPr>
        <sz val="10"/>
        <rFont val="Arial"/>
        <family val="2"/>
      </rPr>
      <t>)</t>
    </r>
    <phoneticPr fontId="4"/>
  </si>
  <si>
    <r>
      <t>发格</t>
    </r>
    <r>
      <rPr>
        <sz val="10"/>
        <rFont val="Arial"/>
        <family val="2"/>
      </rPr>
      <t xml:space="preserve"> (</t>
    </r>
    <r>
      <rPr>
        <sz val="10"/>
        <rFont val="宋体"/>
        <charset val="134"/>
      </rPr>
      <t>西班牙数控系统</t>
    </r>
    <r>
      <rPr>
        <sz val="10"/>
        <rFont val="Arial"/>
        <family val="2"/>
      </rPr>
      <t>)</t>
    </r>
    <phoneticPr fontId="4"/>
  </si>
  <si>
    <r>
      <t>马扎克</t>
    </r>
    <r>
      <rPr>
        <sz val="10"/>
        <rFont val="Arial"/>
        <family val="2"/>
      </rPr>
      <t xml:space="preserve"> (</t>
    </r>
    <r>
      <rPr>
        <sz val="10"/>
        <rFont val="宋体"/>
        <charset val="134"/>
      </rPr>
      <t>日本数控系统</t>
    </r>
    <r>
      <rPr>
        <sz val="10"/>
        <rFont val="Arial"/>
        <family val="2"/>
      </rPr>
      <t>)</t>
    </r>
    <phoneticPr fontId="4"/>
  </si>
  <si>
    <r>
      <t>三菱</t>
    </r>
    <r>
      <rPr>
        <sz val="10"/>
        <rFont val="Arial"/>
        <family val="2"/>
      </rPr>
      <t xml:space="preserve"> (</t>
    </r>
    <r>
      <rPr>
        <sz val="10"/>
        <rFont val="宋体"/>
        <charset val="134"/>
      </rPr>
      <t>日本数控系统</t>
    </r>
    <r>
      <rPr>
        <sz val="10"/>
        <rFont val="Arial"/>
        <family val="2"/>
      </rPr>
      <t>)</t>
    </r>
    <phoneticPr fontId="4"/>
  </si>
  <si>
    <r>
      <t xml:space="preserve">M - </t>
    </r>
    <r>
      <rPr>
        <sz val="10"/>
        <rFont val="宋体"/>
        <charset val="134"/>
      </rPr>
      <t>公制螺纹</t>
    </r>
    <phoneticPr fontId="4"/>
  </si>
  <si>
    <r>
      <t xml:space="preserve">UN - </t>
    </r>
    <r>
      <rPr>
        <sz val="10"/>
        <rFont val="宋体"/>
        <charset val="134"/>
      </rPr>
      <t>美制统一螺纹</t>
    </r>
    <phoneticPr fontId="4"/>
  </si>
  <si>
    <r>
      <t xml:space="preserve">G - </t>
    </r>
    <r>
      <rPr>
        <sz val="10"/>
        <rFont val="宋体"/>
        <charset val="134"/>
      </rPr>
      <t>惠氏管螺纹</t>
    </r>
    <phoneticPr fontId="4"/>
  </si>
  <si>
    <r>
      <t xml:space="preserve">BSPT - </t>
    </r>
    <r>
      <rPr>
        <sz val="10"/>
        <rFont val="宋体"/>
        <charset val="134"/>
      </rPr>
      <t>英制锥管螺纹</t>
    </r>
    <phoneticPr fontId="4"/>
  </si>
  <si>
    <r>
      <t xml:space="preserve">NPT - </t>
    </r>
    <r>
      <rPr>
        <sz val="10"/>
        <rFont val="宋体"/>
        <charset val="134"/>
      </rPr>
      <t>美制锥管螺纹</t>
    </r>
    <phoneticPr fontId="4"/>
  </si>
  <si>
    <r>
      <t xml:space="preserve">NPTF - </t>
    </r>
    <r>
      <rPr>
        <sz val="10"/>
        <rFont val="宋体"/>
        <charset val="134"/>
      </rPr>
      <t>干封美制锥管螺纹</t>
    </r>
    <phoneticPr fontId="4"/>
  </si>
  <si>
    <r>
      <t>中碳钢</t>
    </r>
    <r>
      <rPr>
        <sz val="10"/>
        <rFont val="Arial"/>
        <family val="2"/>
      </rPr>
      <t>, &lt; 0,55% C, &lt; 400 N/mm2</t>
    </r>
    <phoneticPr fontId="4"/>
  </si>
  <si>
    <r>
      <t>高碳钢</t>
    </r>
    <r>
      <rPr>
        <sz val="10"/>
        <rFont val="Arial"/>
        <family val="2"/>
      </rPr>
      <t>, &lt; 0,85% C, &lt; 850 N/mm2</t>
    </r>
    <phoneticPr fontId="4"/>
  </si>
  <si>
    <r>
      <t>不锈钢</t>
    </r>
    <r>
      <rPr>
        <sz val="10"/>
        <rFont val="Arial"/>
        <family val="2"/>
      </rPr>
      <t xml:space="preserve">, </t>
    </r>
    <r>
      <rPr>
        <sz val="10"/>
        <rFont val="宋体"/>
        <charset val="134"/>
      </rPr>
      <t>易切削</t>
    </r>
    <phoneticPr fontId="4"/>
  </si>
  <si>
    <r>
      <t>不锈钢</t>
    </r>
    <r>
      <rPr>
        <sz val="10"/>
        <rFont val="Arial"/>
        <family val="2"/>
      </rPr>
      <t xml:space="preserve">, </t>
    </r>
    <r>
      <rPr>
        <sz val="10"/>
        <rFont val="宋体"/>
        <charset val="134"/>
      </rPr>
      <t>奥氏体</t>
    </r>
    <phoneticPr fontId="4"/>
  </si>
  <si>
    <t>テーパーねじ</t>
    <phoneticPr fontId="4"/>
  </si>
  <si>
    <t>カッタ径はシャフトに最も近いねじの先端よりも大きいです。したがって、ねじの径はカッタの加工が行われる部分の値を入力してください。</t>
    <rPh sb="3" eb="4">
      <t/>
    </rPh>
    <rPh sb="10" eb="11">
      <t/>
    </rPh>
    <rPh sb="12" eb="13">
      <t/>
    </rPh>
    <rPh sb="17" eb="19">
      <t/>
    </rPh>
    <rPh sb="22" eb="23">
      <t/>
    </rPh>
    <rPh sb="37" eb="38">
      <t/>
    </rPh>
    <rPh sb="43" eb="45">
      <t/>
    </rPh>
    <rPh sb="46" eb="47">
      <t/>
    </rPh>
    <rPh sb="50" eb="52">
      <t/>
    </rPh>
    <rPh sb="53" eb="54">
      <t/>
    </rPh>
    <rPh sb="55" eb="57">
      <t/>
    </rPh>
    <phoneticPr fontId="4"/>
  </si>
  <si>
    <t>戻る</t>
    <rPh sb="0" eb="1">
      <t/>
    </rPh>
    <phoneticPr fontId="4"/>
  </si>
  <si>
    <r>
      <t>지멘스용</t>
    </r>
    <r>
      <rPr>
        <sz val="9"/>
        <rFont val="Verdana"/>
        <family val="2"/>
      </rPr>
      <t xml:space="preserve"> CNC </t>
    </r>
    <r>
      <rPr>
        <sz val="9"/>
        <rFont val="돋움"/>
        <family val="3"/>
      </rPr>
      <t>프로그램</t>
    </r>
    <phoneticPr fontId="4"/>
  </si>
  <si>
    <r>
      <t>넘용</t>
    </r>
    <r>
      <rPr>
        <sz val="9"/>
        <rFont val="Verdana"/>
        <family val="2"/>
      </rPr>
      <t xml:space="preserve"> CNC </t>
    </r>
    <r>
      <rPr>
        <sz val="9"/>
        <rFont val="돋움"/>
        <family val="3"/>
      </rPr>
      <t>프로그램</t>
    </r>
    <phoneticPr fontId="4"/>
  </si>
  <si>
    <r>
      <t>파고르용</t>
    </r>
    <r>
      <rPr>
        <sz val="9"/>
        <rFont val="Verdana"/>
        <family val="2"/>
      </rPr>
      <t xml:space="preserve"> CNC </t>
    </r>
    <r>
      <rPr>
        <sz val="9"/>
        <rFont val="돋움"/>
        <family val="3"/>
      </rPr>
      <t>프로그램</t>
    </r>
    <phoneticPr fontId="4"/>
  </si>
  <si>
    <r>
      <t>마작용</t>
    </r>
    <r>
      <rPr>
        <sz val="9"/>
        <rFont val="Verdana"/>
        <family val="2"/>
      </rPr>
      <t xml:space="preserve"> CNC </t>
    </r>
    <r>
      <rPr>
        <sz val="9"/>
        <rFont val="돋움"/>
        <family val="3"/>
      </rPr>
      <t>프로그램</t>
    </r>
    <phoneticPr fontId="4"/>
  </si>
  <si>
    <r>
      <t>미쓰비시용</t>
    </r>
    <r>
      <rPr>
        <sz val="9"/>
        <rFont val="Verdana"/>
        <family val="2"/>
      </rPr>
      <t xml:space="preserve"> CNC </t>
    </r>
    <r>
      <rPr>
        <sz val="9"/>
        <rFont val="돋움"/>
        <family val="3"/>
      </rPr>
      <t>프로그램</t>
    </r>
    <phoneticPr fontId="4"/>
  </si>
  <si>
    <t>쓰레드 밀링(나사가공)</t>
    <phoneticPr fontId="4"/>
  </si>
  <si>
    <t>사용전에 읽어주세요!</t>
    <phoneticPr fontId="4"/>
  </si>
  <si>
    <t>경고!</t>
    <phoneticPr fontId="4"/>
  </si>
  <si>
    <t>１刃あるいは２刃のねじ切りツール</t>
    <rPh sb="1" eb="2">
      <t/>
    </rPh>
    <rPh sb="7" eb="8">
      <t/>
    </rPh>
    <rPh sb="11" eb="12">
      <t/>
    </rPh>
    <phoneticPr fontId="4"/>
  </si>
  <si>
    <t>より小さい腰まわりのねじ切りツール</t>
    <rPh sb="2" eb="3">
      <t/>
    </rPh>
    <rPh sb="5" eb="6">
      <t/>
    </rPh>
    <rPh sb="12" eb="13">
      <t/>
    </rPh>
    <phoneticPr fontId="4"/>
  </si>
  <si>
    <t>スローアウェイチップのねじ切りカッタ</t>
    <rPh sb="13" eb="14">
      <t/>
    </rPh>
    <phoneticPr fontId="4"/>
  </si>
  <si>
    <t>注意！</t>
    <rPh sb="0" eb="2">
      <t/>
    </rPh>
    <phoneticPr fontId="4"/>
  </si>
  <si>
    <t>プログラムの使い方</t>
    <rPh sb="6" eb="7">
      <t/>
    </rPh>
    <rPh sb="8" eb="9">
      <t/>
    </rPh>
    <phoneticPr fontId="4"/>
  </si>
  <si>
    <t>ツール補正</t>
    <rPh sb="3" eb="5">
      <t/>
    </rPh>
    <phoneticPr fontId="4"/>
  </si>
  <si>
    <r>
      <t xml:space="preserve">L = </t>
    </r>
    <r>
      <rPr>
        <sz val="10"/>
        <rFont val="宋体"/>
        <charset val="134"/>
      </rPr>
      <t>螺纹长度</t>
    </r>
    <r>
      <rPr>
        <sz val="10"/>
        <rFont val="Arial"/>
        <family val="2"/>
      </rPr>
      <t xml:space="preserve"> (mm)</t>
    </r>
    <phoneticPr fontId="4"/>
  </si>
  <si>
    <r>
      <t xml:space="preserve">S = </t>
    </r>
    <r>
      <rPr>
        <sz val="10"/>
        <rFont val="宋体"/>
        <charset val="134"/>
      </rPr>
      <t>安全距离</t>
    </r>
    <r>
      <rPr>
        <sz val="10"/>
        <rFont val="Arial"/>
        <family val="2"/>
      </rPr>
      <t xml:space="preserve"> (mm)</t>
    </r>
    <phoneticPr fontId="4"/>
  </si>
  <si>
    <r>
      <t xml:space="preserve">d = </t>
    </r>
    <r>
      <rPr>
        <sz val="10"/>
        <rFont val="宋体"/>
        <charset val="134"/>
      </rPr>
      <t>刀具直径</t>
    </r>
    <r>
      <rPr>
        <sz val="10"/>
        <rFont val="Arial"/>
        <family val="2"/>
      </rPr>
      <t xml:space="preserve"> (mm)</t>
    </r>
    <phoneticPr fontId="4"/>
  </si>
  <si>
    <r>
      <t xml:space="preserve">l = </t>
    </r>
    <r>
      <rPr>
        <sz val="10"/>
        <rFont val="宋体"/>
        <charset val="134"/>
      </rPr>
      <t>切削刃长度</t>
    </r>
    <r>
      <rPr>
        <sz val="10"/>
        <rFont val="Arial"/>
        <family val="2"/>
      </rPr>
      <t xml:space="preserve"> (mm)</t>
    </r>
    <phoneticPr fontId="4"/>
  </si>
  <si>
    <r>
      <t xml:space="preserve">z = </t>
    </r>
    <r>
      <rPr>
        <sz val="10"/>
        <rFont val="宋体"/>
        <charset val="134"/>
      </rPr>
      <t>齿数</t>
    </r>
    <phoneticPr fontId="4"/>
  </si>
  <si>
    <t>Välj språk på höger sida längst ner och därefter gör du dina val på rullgardinsmenyerna samt fyller i de fyra första rutorna. Med denna information kommer programmet i den sista rullgardinsmenyn ge dig förslag på lämpliga verktyg. När du valt ett verktyg visas information om verktyget samt rekommenderad skärdata och den tid det kommer ta att tillverka gängan. Förutom detta visas CNC programmet. Detta kan kopieras ut och klistras in i din CNC fil. De övriga sex rutorna fylls endast i om du inte accepterar det rekommenderade.</t>
  </si>
  <si>
    <t>Wybierz język z menu w prawym dolnym rogu i wypełnij cztery pierwsze pola.Po podaniu właściwym wartosci program wybierze rekomendowany zakres frezów.Po wybraniu jednego z narzędzi ,zostaną wyświetlone dane o nim wraz rekomendacją dotyczącą warunków skrawania i czasu wykonania gwintu.Równocześnie zostanie obliczony program CNC ,który można skopiować i zapisać do plików CNC.Pozostałe sześć wolnych pól może być zmienione jedynie w przypadku niezakceptowania wygenerowanych przez program wartości.</t>
  </si>
  <si>
    <t>Kompensacja Narzędzi</t>
  </si>
  <si>
    <r>
      <t xml:space="preserve">V = </t>
    </r>
    <r>
      <rPr>
        <sz val="9"/>
        <rFont val="돋움"/>
        <family val="3"/>
      </rPr>
      <t>절삭속도</t>
    </r>
    <r>
      <rPr>
        <sz val="9"/>
        <rFont val="Verdana"/>
        <family val="2"/>
      </rPr>
      <t xml:space="preserve"> (m/min)</t>
    </r>
    <phoneticPr fontId="4"/>
  </si>
  <si>
    <r>
      <t xml:space="preserve">Fz = </t>
    </r>
    <r>
      <rPr>
        <sz val="9"/>
        <rFont val="돋움"/>
        <family val="3"/>
      </rPr>
      <t>이송</t>
    </r>
    <r>
      <rPr>
        <sz val="9"/>
        <rFont val="Verdana"/>
        <family val="2"/>
      </rPr>
      <t>/</t>
    </r>
    <r>
      <rPr>
        <sz val="9"/>
        <rFont val="돋움"/>
        <family val="3"/>
      </rPr>
      <t>날당</t>
    </r>
    <r>
      <rPr>
        <sz val="9"/>
        <rFont val="Verdana"/>
        <family val="2"/>
      </rPr>
      <t>(mm/tooth)</t>
    </r>
    <phoneticPr fontId="4"/>
  </si>
  <si>
    <r>
      <t>반복</t>
    </r>
    <r>
      <rPr>
        <sz val="9"/>
        <rFont val="Verdana"/>
        <family val="2"/>
      </rPr>
      <t xml:space="preserve"> </t>
    </r>
    <r>
      <rPr>
        <sz val="9"/>
        <rFont val="돋움"/>
        <family val="3"/>
      </rPr>
      <t>횟수</t>
    </r>
    <r>
      <rPr>
        <sz val="9"/>
        <rFont val="Verdana"/>
        <family val="2"/>
      </rPr>
      <t xml:space="preserve">, </t>
    </r>
    <r>
      <rPr>
        <sz val="9"/>
        <rFont val="돋움"/>
        <family val="3"/>
      </rPr>
      <t>원주방향</t>
    </r>
    <r>
      <rPr>
        <sz val="9"/>
        <rFont val="Verdana"/>
        <family val="2"/>
      </rPr>
      <t xml:space="preserve"> (max 4)</t>
    </r>
    <phoneticPr fontId="4"/>
  </si>
  <si>
    <t>반복 횟수, 축방향</t>
    <phoneticPr fontId="4"/>
  </si>
  <si>
    <r>
      <t xml:space="preserve">N = </t>
    </r>
    <r>
      <rPr>
        <sz val="9"/>
        <rFont val="돋움"/>
        <family val="3"/>
      </rPr>
      <t>스핀들</t>
    </r>
    <r>
      <rPr>
        <sz val="9"/>
        <rFont val="Verdana"/>
        <family val="2"/>
      </rPr>
      <t xml:space="preserve"> </t>
    </r>
    <r>
      <rPr>
        <sz val="9"/>
        <rFont val="돋움"/>
        <family val="3"/>
      </rPr>
      <t>회전수</t>
    </r>
    <r>
      <rPr>
        <sz val="9"/>
        <rFont val="Verdana"/>
        <family val="2"/>
      </rPr>
      <t>(rpm)</t>
    </r>
    <phoneticPr fontId="4"/>
  </si>
  <si>
    <r>
      <t xml:space="preserve">FD = </t>
    </r>
    <r>
      <rPr>
        <sz val="9"/>
        <rFont val="돋움"/>
        <family val="3"/>
      </rPr>
      <t>나사</t>
    </r>
    <r>
      <rPr>
        <sz val="9"/>
        <rFont val="Verdana"/>
        <family val="2"/>
      </rPr>
      <t xml:space="preserve"> </t>
    </r>
    <r>
      <rPr>
        <sz val="9"/>
        <rFont val="돋움"/>
        <family val="3"/>
      </rPr>
      <t>외경에서의</t>
    </r>
    <r>
      <rPr>
        <sz val="9"/>
        <rFont val="Verdana"/>
        <family val="2"/>
      </rPr>
      <t xml:space="preserve"> </t>
    </r>
    <r>
      <rPr>
        <sz val="9"/>
        <rFont val="돋움"/>
        <family val="3"/>
      </rPr>
      <t>이송</t>
    </r>
    <r>
      <rPr>
        <sz val="9"/>
        <rFont val="Verdana"/>
        <family val="2"/>
      </rPr>
      <t>(mm/min)</t>
    </r>
    <phoneticPr fontId="4"/>
  </si>
  <si>
    <r>
      <t xml:space="preserve">Fd = </t>
    </r>
    <r>
      <rPr>
        <sz val="9"/>
        <rFont val="돋움"/>
        <family val="3"/>
      </rPr>
      <t>공구</t>
    </r>
    <r>
      <rPr>
        <sz val="9"/>
        <rFont val="Verdana"/>
        <family val="2"/>
      </rPr>
      <t xml:space="preserve"> </t>
    </r>
    <r>
      <rPr>
        <sz val="9"/>
        <rFont val="돋움"/>
        <family val="3"/>
      </rPr>
      <t>중심에서의</t>
    </r>
    <r>
      <rPr>
        <sz val="9"/>
        <rFont val="Verdana"/>
        <family val="2"/>
      </rPr>
      <t xml:space="preserve"> </t>
    </r>
    <r>
      <rPr>
        <sz val="9"/>
        <rFont val="돋움"/>
        <family val="3"/>
      </rPr>
      <t>이송</t>
    </r>
    <r>
      <rPr>
        <sz val="9"/>
        <rFont val="Verdana"/>
        <family val="2"/>
      </rPr>
      <t>(mm/min)</t>
    </r>
    <phoneticPr fontId="4"/>
  </si>
  <si>
    <r>
      <t xml:space="preserve">T = </t>
    </r>
    <r>
      <rPr>
        <sz val="9"/>
        <rFont val="돋움"/>
        <family val="3"/>
      </rPr>
      <t>쓰레드</t>
    </r>
    <r>
      <rPr>
        <sz val="9"/>
        <rFont val="Verdana"/>
        <family val="2"/>
      </rPr>
      <t xml:space="preserve"> </t>
    </r>
    <r>
      <rPr>
        <sz val="9"/>
        <rFont val="돋움"/>
        <family val="3"/>
      </rPr>
      <t>밀링</t>
    </r>
    <r>
      <rPr>
        <sz val="9"/>
        <rFont val="Verdana"/>
        <family val="2"/>
      </rPr>
      <t xml:space="preserve"> </t>
    </r>
    <r>
      <rPr>
        <sz val="9"/>
        <rFont val="돋움"/>
        <family val="3"/>
      </rPr>
      <t>시간</t>
    </r>
    <r>
      <rPr>
        <sz val="9"/>
        <rFont val="Verdana"/>
        <family val="2"/>
      </rPr>
      <t>(</t>
    </r>
    <r>
      <rPr>
        <sz val="9"/>
        <rFont val="돋움"/>
        <family val="3"/>
      </rPr>
      <t>초</t>
    </r>
    <r>
      <rPr>
        <sz val="9"/>
        <rFont val="Verdana"/>
        <family val="2"/>
      </rPr>
      <t>)</t>
    </r>
    <phoneticPr fontId="4"/>
  </si>
  <si>
    <t>하이덴하인용 CNC 프로그램</t>
    <phoneticPr fontId="4"/>
  </si>
  <si>
    <t>Stal Nierdzewna, Ferrytyczna i Austenityczna</t>
  </si>
  <si>
    <t>Titan, Niestopowy &lt; 700 N/mm2</t>
  </si>
  <si>
    <t>Titan , Stopowy, &lt; 900 N/mm2</t>
  </si>
  <si>
    <t>Titan , Stopowy, &lt; 1250 N/mm2</t>
  </si>
  <si>
    <t>Nikiel Niestopowy&lt; 500 N/mm2</t>
  </si>
  <si>
    <t>Nikiel Stopowy, &lt; 900 N/mm2</t>
  </si>
  <si>
    <t>Nikiel Stopowy, &lt; 1250 N/mm2</t>
  </si>
  <si>
    <t>Miedź  Niestopowa &lt; 350 N/mm2</t>
  </si>
  <si>
    <t>Miedź,Mosiąz,Brąz &lt; 700 N/mm2</t>
  </si>
  <si>
    <r>
      <t xml:space="preserve">S = </t>
    </r>
    <r>
      <rPr>
        <sz val="9"/>
        <rFont val="돋움"/>
        <family val="3"/>
      </rPr>
      <t>안전</t>
    </r>
    <r>
      <rPr>
        <sz val="9"/>
        <rFont val="Verdana"/>
        <family val="2"/>
      </rPr>
      <t xml:space="preserve"> </t>
    </r>
    <r>
      <rPr>
        <sz val="9"/>
        <rFont val="돋움"/>
        <family val="3"/>
      </rPr>
      <t>거리</t>
    </r>
    <r>
      <rPr>
        <sz val="9"/>
        <rFont val="Verdana"/>
        <family val="2"/>
      </rPr>
      <t xml:space="preserve"> (mm)</t>
    </r>
    <phoneticPr fontId="4"/>
  </si>
  <si>
    <r>
      <t xml:space="preserve">d = </t>
    </r>
    <r>
      <rPr>
        <sz val="9"/>
        <rFont val="돋움"/>
        <family val="3"/>
      </rPr>
      <t>공구</t>
    </r>
    <r>
      <rPr>
        <sz val="9"/>
        <rFont val="Verdana"/>
        <family val="2"/>
      </rPr>
      <t xml:space="preserve"> </t>
    </r>
    <r>
      <rPr>
        <sz val="9"/>
        <rFont val="돋움"/>
        <family val="3"/>
      </rPr>
      <t>직경</t>
    </r>
    <r>
      <rPr>
        <sz val="9"/>
        <rFont val="Verdana"/>
        <family val="2"/>
      </rPr>
      <t xml:space="preserve"> (mm)</t>
    </r>
    <phoneticPr fontId="4"/>
  </si>
  <si>
    <t>W przypadku  narzędzi które nie zostały wymienione w bibliotece  można wprowadzić średnice freza ,długość krawędzi roboczej i ilosc piór w polach 5-7</t>
  </si>
  <si>
    <t>Frezy do gwintów z jednym lub dwoma zębami na ostrzu</t>
  </si>
  <si>
    <t>Program automatycznie utworzy spirale od początku do do końca gwintu kiedy wybrana jest  standardowa głowica NM z jednym lub dwoma zębami na ostrzu.Jeżeli chce się zrobić to samo z innym narzędziem ,należy wprowadzić skok jak i długość krawędzi skrawającej w polu 6</t>
  </si>
  <si>
    <t>Frezy do gwintów odmiana Krótka</t>
  </si>
  <si>
    <t>Program automatycznie wyliczy wymagane wartosci   w kilku krokach jeżeli frez do gwintu ma krótkszą długości roboczej niż założona długość gwintu</t>
  </si>
  <si>
    <t>Głowice frezujące gwinty z płytką wymienną</t>
  </si>
  <si>
    <t>Żeliwo, Żeliwo sferoidalne,Ciągliwe &lt; 1000 N/mm2</t>
  </si>
  <si>
    <t>Stal Nierdzewna,Automatowa</t>
  </si>
  <si>
    <r>
      <t>화낙용</t>
    </r>
    <r>
      <rPr>
        <sz val="9"/>
        <rFont val="Verdana"/>
        <family val="2"/>
      </rPr>
      <t xml:space="preserve"> CNC </t>
    </r>
    <r>
      <rPr>
        <sz val="9"/>
        <rFont val="돋움"/>
        <family val="3"/>
      </rPr>
      <t>프로그램</t>
    </r>
    <phoneticPr fontId="4"/>
  </si>
  <si>
    <t>Stal Nierdzewna, Austenityczna</t>
  </si>
  <si>
    <t>Stal , niskostopowa, &lt; 850 N/mm2</t>
  </si>
  <si>
    <t>Stal ,wysokostopowa,&lt; 1200 N/mm2</t>
  </si>
  <si>
    <t>Stal, utwardzona, &lt; 45 HRC</t>
  </si>
  <si>
    <t>Stal, utwardzona, &lt; 55 HRC</t>
  </si>
  <si>
    <t>Stal, utwardzona, &lt; 65 HRC</t>
  </si>
  <si>
    <t>Żeliwo, Żeliwo Szare,&lt; 500 N/mm2</t>
  </si>
  <si>
    <t>Żeliwo, Żeliwo Szare,&lt; 1000 N/mm2</t>
  </si>
  <si>
    <t>Żeliwo, Żeliwo sferoidalne,Ciągliwe &lt; 700 N/mm2</t>
  </si>
  <si>
    <t>Miedź,Brąz dużej wytrzymałości  , &lt; 1500 N/mm2</t>
  </si>
  <si>
    <r>
      <t xml:space="preserve">l = </t>
    </r>
    <r>
      <rPr>
        <sz val="9"/>
        <rFont val="돋움"/>
        <family val="3"/>
      </rPr>
      <t>절삭날</t>
    </r>
    <r>
      <rPr>
        <sz val="9"/>
        <rFont val="Verdana"/>
        <family val="2"/>
      </rPr>
      <t xml:space="preserve"> </t>
    </r>
    <r>
      <rPr>
        <sz val="9"/>
        <rFont val="돋움"/>
        <family val="3"/>
      </rPr>
      <t>길이</t>
    </r>
    <r>
      <rPr>
        <sz val="9"/>
        <rFont val="Verdana"/>
        <family val="2"/>
      </rPr>
      <t xml:space="preserve"> (mm)</t>
    </r>
    <phoneticPr fontId="4"/>
  </si>
  <si>
    <r>
      <t xml:space="preserve">z = </t>
    </r>
    <r>
      <rPr>
        <sz val="9"/>
        <rFont val="돋움"/>
        <family val="3"/>
      </rPr>
      <t>날</t>
    </r>
    <r>
      <rPr>
        <sz val="9"/>
        <rFont val="Verdana"/>
        <family val="2"/>
      </rPr>
      <t xml:space="preserve"> </t>
    </r>
    <r>
      <rPr>
        <sz val="9"/>
        <rFont val="돋움"/>
        <family val="3"/>
      </rPr>
      <t>수</t>
    </r>
    <phoneticPr fontId="4"/>
  </si>
  <si>
    <t>프로그램 사용 방법</t>
    <phoneticPr fontId="4"/>
  </si>
  <si>
    <t>머시닝 센터에서의 내경 쓰레드 밀링(나사가공)</t>
    <phoneticPr fontId="4"/>
  </si>
  <si>
    <t>라이브 툴의 선반에서의 내경 쓰레드 밀링(나사가공)</t>
    <phoneticPr fontId="4"/>
  </si>
  <si>
    <t>화낙</t>
    <phoneticPr fontId="4"/>
  </si>
  <si>
    <t>하이덴하인</t>
    <phoneticPr fontId="4"/>
  </si>
  <si>
    <t>지멘스</t>
    <phoneticPr fontId="4"/>
  </si>
  <si>
    <t>넘</t>
    <phoneticPr fontId="4"/>
  </si>
  <si>
    <t>파고르</t>
    <phoneticPr fontId="4"/>
  </si>
  <si>
    <t>마작</t>
    <phoneticPr fontId="4"/>
  </si>
  <si>
    <t>미쓰비시</t>
    <phoneticPr fontId="4"/>
  </si>
  <si>
    <r>
      <t xml:space="preserve">M - </t>
    </r>
    <r>
      <rPr>
        <sz val="9"/>
        <rFont val="돋움"/>
        <family val="3"/>
      </rPr>
      <t>미터나사</t>
    </r>
    <phoneticPr fontId="4"/>
  </si>
  <si>
    <r>
      <t xml:space="preserve">UN - </t>
    </r>
    <r>
      <rPr>
        <sz val="9"/>
        <rFont val="돋움"/>
        <family val="3"/>
      </rPr>
      <t>인치나사</t>
    </r>
    <phoneticPr fontId="4"/>
  </si>
  <si>
    <r>
      <t xml:space="preserve">G - </t>
    </r>
    <r>
      <rPr>
        <sz val="9"/>
        <rFont val="돋움"/>
        <family val="3"/>
      </rPr>
      <t>관용</t>
    </r>
    <r>
      <rPr>
        <sz val="9"/>
        <rFont val="Verdana"/>
        <family val="2"/>
      </rPr>
      <t xml:space="preserve"> </t>
    </r>
    <r>
      <rPr>
        <sz val="9"/>
        <rFont val="돋움"/>
        <family val="3"/>
      </rPr>
      <t>위트워드</t>
    </r>
    <r>
      <rPr>
        <sz val="9"/>
        <rFont val="Verdana"/>
        <family val="2"/>
      </rPr>
      <t xml:space="preserve"> </t>
    </r>
    <r>
      <rPr>
        <sz val="9"/>
        <rFont val="돋움"/>
        <family val="3"/>
      </rPr>
      <t>나사</t>
    </r>
    <phoneticPr fontId="4"/>
  </si>
  <si>
    <r>
      <t xml:space="preserve">BSPT - </t>
    </r>
    <r>
      <rPr>
        <sz val="9"/>
        <rFont val="돋움"/>
        <family val="3"/>
      </rPr>
      <t>관용</t>
    </r>
    <r>
      <rPr>
        <sz val="9"/>
        <rFont val="Verdana"/>
        <family val="2"/>
      </rPr>
      <t xml:space="preserve"> </t>
    </r>
    <r>
      <rPr>
        <sz val="9"/>
        <rFont val="돋움"/>
        <family val="3"/>
      </rPr>
      <t>테이퍼 나사(영국식)</t>
    </r>
    <phoneticPr fontId="4"/>
  </si>
  <si>
    <r>
      <t xml:space="preserve">NPT - </t>
    </r>
    <r>
      <rPr>
        <sz val="9"/>
        <rFont val="돋움"/>
        <family val="3"/>
      </rPr>
      <t>관용</t>
    </r>
    <r>
      <rPr>
        <sz val="9"/>
        <rFont val="Verdana"/>
        <family val="2"/>
      </rPr>
      <t xml:space="preserve"> </t>
    </r>
    <r>
      <rPr>
        <sz val="9"/>
        <rFont val="돋움"/>
        <family val="3"/>
      </rPr>
      <t>테이퍼 나사</t>
    </r>
    <phoneticPr fontId="4"/>
  </si>
  <si>
    <r>
      <t xml:space="preserve">NPTF - </t>
    </r>
    <r>
      <rPr>
        <sz val="9"/>
        <rFont val="돋움"/>
        <family val="3"/>
      </rPr>
      <t>드라이씰용, 관용 테이퍼 나사</t>
    </r>
    <phoneticPr fontId="4"/>
  </si>
  <si>
    <t>S=minimalna odległość od czoła narzędzia do czoła detalu(mm)</t>
  </si>
  <si>
    <t>d=Średnica narzędzia</t>
  </si>
  <si>
    <t>l=długość krawędzi roboczej</t>
  </si>
  <si>
    <t>z=ilość ostrzy</t>
  </si>
  <si>
    <t>V=prędkość skrawania(m/min)</t>
  </si>
  <si>
    <t>Fz=posów na ząb (mm/ząb)</t>
  </si>
  <si>
    <r>
      <t>티타늄</t>
    </r>
    <r>
      <rPr>
        <sz val="9"/>
        <rFont val="Verdana"/>
        <family val="2"/>
      </rPr>
      <t xml:space="preserve"> </t>
    </r>
    <r>
      <rPr>
        <sz val="9"/>
        <rFont val="돋움"/>
        <family val="3"/>
      </rPr>
      <t>합금</t>
    </r>
    <r>
      <rPr>
        <sz val="9"/>
        <rFont val="Verdana"/>
        <family val="2"/>
      </rPr>
      <t xml:space="preserve">, </t>
    </r>
    <r>
      <rPr>
        <sz val="9"/>
        <rFont val="돋움"/>
        <family val="3"/>
      </rPr>
      <t>인장강도</t>
    </r>
    <r>
      <rPr>
        <sz val="9"/>
        <rFont val="Verdana"/>
        <family val="2"/>
      </rPr>
      <t xml:space="preserve"> 90 Kg/mm2 </t>
    </r>
    <r>
      <rPr>
        <sz val="9"/>
        <rFont val="돋움"/>
        <family val="3"/>
      </rPr>
      <t>이하</t>
    </r>
    <phoneticPr fontId="4"/>
  </si>
  <si>
    <r>
      <t>티타늄</t>
    </r>
    <r>
      <rPr>
        <sz val="9"/>
        <rFont val="Verdana"/>
        <family val="2"/>
      </rPr>
      <t xml:space="preserve"> </t>
    </r>
    <r>
      <rPr>
        <sz val="9"/>
        <rFont val="돋움"/>
        <family val="3"/>
      </rPr>
      <t>합금</t>
    </r>
    <r>
      <rPr>
        <sz val="9"/>
        <rFont val="Verdana"/>
        <family val="2"/>
      </rPr>
      <t xml:space="preserve">, </t>
    </r>
    <r>
      <rPr>
        <sz val="9"/>
        <rFont val="돋움"/>
        <family val="3"/>
      </rPr>
      <t>인장강도</t>
    </r>
    <r>
      <rPr>
        <sz val="9"/>
        <rFont val="Verdana"/>
        <family val="2"/>
      </rPr>
      <t xml:space="preserve"> 125 Kg/mm2 </t>
    </r>
    <r>
      <rPr>
        <sz val="9"/>
        <rFont val="돋움"/>
        <family val="3"/>
      </rPr>
      <t>이하</t>
    </r>
    <phoneticPr fontId="4"/>
  </si>
  <si>
    <r>
      <t>순수</t>
    </r>
    <r>
      <rPr>
        <sz val="9"/>
        <rFont val="Verdana"/>
        <family val="2"/>
      </rPr>
      <t xml:space="preserve"> </t>
    </r>
    <r>
      <rPr>
        <sz val="9"/>
        <rFont val="돋움"/>
        <family val="3"/>
      </rPr>
      <t>니켈</t>
    </r>
    <r>
      <rPr>
        <sz val="9"/>
        <rFont val="Verdana"/>
        <family val="2"/>
      </rPr>
      <t xml:space="preserve">, </t>
    </r>
    <r>
      <rPr>
        <sz val="9"/>
        <rFont val="돋움"/>
        <family val="3"/>
      </rPr>
      <t>인장강도</t>
    </r>
    <r>
      <rPr>
        <sz val="9"/>
        <rFont val="Verdana"/>
        <family val="2"/>
      </rPr>
      <t xml:space="preserve"> 50 Kg/mm2 </t>
    </r>
    <r>
      <rPr>
        <sz val="9"/>
        <rFont val="돋움"/>
        <family val="3"/>
      </rPr>
      <t>이하</t>
    </r>
    <phoneticPr fontId="4"/>
  </si>
  <si>
    <r>
      <t>니켈</t>
    </r>
    <r>
      <rPr>
        <sz val="9"/>
        <rFont val="Verdana"/>
        <family val="2"/>
      </rPr>
      <t xml:space="preserve"> </t>
    </r>
    <r>
      <rPr>
        <sz val="9"/>
        <rFont val="돋움"/>
        <family val="3"/>
      </rPr>
      <t>합금</t>
    </r>
    <r>
      <rPr>
        <sz val="9"/>
        <rFont val="Verdana"/>
        <family val="2"/>
      </rPr>
      <t xml:space="preserve">, </t>
    </r>
    <r>
      <rPr>
        <sz val="9"/>
        <rFont val="돋움"/>
        <family val="3"/>
      </rPr>
      <t>인장강도</t>
    </r>
    <r>
      <rPr>
        <sz val="9"/>
        <rFont val="Verdana"/>
        <family val="2"/>
      </rPr>
      <t xml:space="preserve"> 90 Kg/mm2 </t>
    </r>
    <r>
      <rPr>
        <sz val="9"/>
        <rFont val="돋움"/>
        <family val="3"/>
      </rPr>
      <t>이하</t>
    </r>
    <phoneticPr fontId="4"/>
  </si>
  <si>
    <r>
      <t>니켈</t>
    </r>
    <r>
      <rPr>
        <sz val="9"/>
        <rFont val="Verdana"/>
        <family val="2"/>
      </rPr>
      <t xml:space="preserve"> </t>
    </r>
    <r>
      <rPr>
        <sz val="9"/>
        <rFont val="돋움"/>
        <family val="3"/>
      </rPr>
      <t>합금</t>
    </r>
    <r>
      <rPr>
        <sz val="9"/>
        <rFont val="Verdana"/>
        <family val="2"/>
      </rPr>
      <t xml:space="preserve">, </t>
    </r>
    <r>
      <rPr>
        <sz val="9"/>
        <rFont val="돋움"/>
        <family val="3"/>
      </rPr>
      <t>인장강도</t>
    </r>
    <r>
      <rPr>
        <sz val="9"/>
        <rFont val="Verdana"/>
        <family val="2"/>
      </rPr>
      <t xml:space="preserve"> 125 Kg/mm2 </t>
    </r>
    <r>
      <rPr>
        <sz val="9"/>
        <rFont val="돋움"/>
        <family val="3"/>
      </rPr>
      <t>이하</t>
    </r>
    <phoneticPr fontId="4"/>
  </si>
  <si>
    <r>
      <t>순동</t>
    </r>
    <r>
      <rPr>
        <sz val="9"/>
        <rFont val="Verdana"/>
        <family val="2"/>
      </rPr>
      <t xml:space="preserve">, </t>
    </r>
    <r>
      <rPr>
        <sz val="9"/>
        <rFont val="돋움"/>
        <family val="3"/>
      </rPr>
      <t>인장강도</t>
    </r>
    <r>
      <rPr>
        <sz val="9"/>
        <rFont val="Verdana"/>
        <family val="2"/>
      </rPr>
      <t xml:space="preserve"> 35 Kg/mm2 </t>
    </r>
    <r>
      <rPr>
        <sz val="9"/>
        <rFont val="돋움"/>
        <family val="3"/>
      </rPr>
      <t>이하</t>
    </r>
    <phoneticPr fontId="4"/>
  </si>
  <si>
    <r>
      <t>동</t>
    </r>
    <r>
      <rPr>
        <sz val="9"/>
        <rFont val="Verdana"/>
        <family val="2"/>
      </rPr>
      <t xml:space="preserve">, </t>
    </r>
    <r>
      <rPr>
        <sz val="9"/>
        <rFont val="돋움"/>
        <family val="3"/>
      </rPr>
      <t>황동</t>
    </r>
    <r>
      <rPr>
        <sz val="9"/>
        <rFont val="Verdana"/>
        <family val="2"/>
      </rPr>
      <t xml:space="preserve">, </t>
    </r>
    <r>
      <rPr>
        <sz val="9"/>
        <rFont val="돋움"/>
        <family val="3"/>
      </rPr>
      <t>청동</t>
    </r>
    <r>
      <rPr>
        <sz val="9"/>
        <rFont val="Verdana"/>
        <family val="2"/>
      </rPr>
      <t xml:space="preserve">, </t>
    </r>
    <r>
      <rPr>
        <sz val="9"/>
        <rFont val="돋움"/>
        <family val="3"/>
      </rPr>
      <t>인장강도</t>
    </r>
    <r>
      <rPr>
        <sz val="9"/>
        <rFont val="Verdana"/>
        <family val="2"/>
      </rPr>
      <t xml:space="preserve"> 70 Kg/mm2 </t>
    </r>
    <r>
      <rPr>
        <sz val="9"/>
        <rFont val="돋움"/>
        <family val="3"/>
      </rPr>
      <t>이하</t>
    </r>
    <phoneticPr fontId="4"/>
  </si>
  <si>
    <r>
      <t>동</t>
    </r>
    <r>
      <rPr>
        <sz val="9"/>
        <rFont val="Verdana"/>
        <family val="2"/>
      </rPr>
      <t xml:space="preserve">, </t>
    </r>
    <r>
      <rPr>
        <sz val="9"/>
        <rFont val="돋움"/>
        <family val="3"/>
      </rPr>
      <t>고강도</t>
    </r>
    <r>
      <rPr>
        <sz val="9"/>
        <rFont val="Verdana"/>
        <family val="2"/>
      </rPr>
      <t xml:space="preserve"> </t>
    </r>
    <r>
      <rPr>
        <sz val="9"/>
        <rFont val="돋움"/>
        <family val="3"/>
      </rPr>
      <t>청동</t>
    </r>
    <r>
      <rPr>
        <sz val="9"/>
        <rFont val="Verdana"/>
        <family val="2"/>
      </rPr>
      <t xml:space="preserve">, </t>
    </r>
    <r>
      <rPr>
        <sz val="9"/>
        <rFont val="돋움"/>
        <family val="3"/>
      </rPr>
      <t>인장강도</t>
    </r>
    <r>
      <rPr>
        <sz val="9"/>
        <rFont val="Verdana"/>
        <family val="2"/>
      </rPr>
      <t xml:space="preserve"> 150 Kg/mm2 </t>
    </r>
    <r>
      <rPr>
        <sz val="9"/>
        <rFont val="돋움"/>
        <family val="3"/>
      </rPr>
      <t>이하</t>
    </r>
    <phoneticPr fontId="4"/>
  </si>
  <si>
    <r>
      <t>순수</t>
    </r>
    <r>
      <rPr>
        <sz val="9"/>
        <rFont val="Verdana"/>
        <family val="2"/>
      </rPr>
      <t xml:space="preserve"> </t>
    </r>
    <r>
      <rPr>
        <sz val="9"/>
        <rFont val="돋움"/>
        <family val="3"/>
      </rPr>
      <t>알루미늄</t>
    </r>
    <phoneticPr fontId="4"/>
  </si>
  <si>
    <t>Wprowadź średnice freza w pole 5,  w polu 6 długość krawędzi roboczej płytki a w 7-mym ilość płytek(ostrzy).Jeżeli jest taka potrzeba program wyliczy pełną droge narzędzia w zależnosci od ilosci jego skoków</t>
  </si>
  <si>
    <t>Gwinty stożkowe</t>
  </si>
  <si>
    <t xml:space="preserve">Srednica freza jest podana na całym ostatnim zwoju bliska trzonko.Dlatego należy wprowadzić do programu srednicę gwintu  która  dotyczy tej części freza </t>
  </si>
  <si>
    <t>powrót</t>
  </si>
  <si>
    <r>
      <t>주철</t>
    </r>
    <r>
      <rPr>
        <sz val="9"/>
        <rFont val="Verdana"/>
        <family val="2"/>
      </rPr>
      <t xml:space="preserve">, </t>
    </r>
    <r>
      <rPr>
        <sz val="9"/>
        <rFont val="돋움"/>
        <family val="3"/>
      </rPr>
      <t>인장강도</t>
    </r>
    <r>
      <rPr>
        <sz val="9"/>
        <rFont val="Verdana"/>
        <family val="2"/>
      </rPr>
      <t xml:space="preserve"> 50 Kg/mm2 </t>
    </r>
    <r>
      <rPr>
        <sz val="9"/>
        <rFont val="돋움"/>
        <family val="3"/>
      </rPr>
      <t>이하</t>
    </r>
    <phoneticPr fontId="4"/>
  </si>
  <si>
    <t>Le programme produira automatiquement une spirale dès le débût jusqu'à ce que le filetage soit terminé quand vous choisissez une fraise type NM avec un ou deux dents. Si vous voulez faire la même chose avec un outil différent, vous devez alors enregistrer le pas en tant que longueur de coupe dans la plage 6.</t>
  </si>
  <si>
    <t>Fraise à fileter à petit diamètre</t>
  </si>
  <si>
    <t>Enregistrez le diamètre de la fraise dans la plage 5, renseignez dans la plage 6 la longueur de l’insert et dans la plage 7 le nombre d’inserts. Si besoin, le programme produira automatiquement la longueur totale après plusieurs passages.</t>
  </si>
  <si>
    <t>Filetage conique</t>
  </si>
  <si>
    <t>W tym programie zmiana połozenia narzędzi jest możliwa jedynie w wypadku rekompensowania małych wartości. Takie podejscie eliminuje problemy mogące się pojawić gdy ktoś stosuje kompensacje promienia o dużej wartości.Dlatego prosimy wybrać wielkości bliskie zera dla średnic  frezów w biblitece systemu kontrolnego</t>
  </si>
  <si>
    <t>Comment utiliser le programme</t>
  </si>
  <si>
    <t xml:space="preserve">Ilość skoków(przejść), katowo (max 3) </t>
  </si>
  <si>
    <t>Ilość skoków(przejść) , osiowo</t>
  </si>
  <si>
    <t>N= obroty wrzeciona (obr/min)</t>
  </si>
  <si>
    <t>FD=posów w średnicy gwintu (mm/min)</t>
  </si>
  <si>
    <t>Fd=posów w osi gwintu (mm/min)</t>
  </si>
  <si>
    <t>T=Czas potrzebny do wyfrezowania gwintu (sekundy)</t>
  </si>
  <si>
    <t xml:space="preserve"> Program CNC dla Fanuca</t>
  </si>
  <si>
    <t xml:space="preserve"> Program CNC dla Siemensa</t>
  </si>
  <si>
    <t xml:space="preserve"> Program CNC dla Num</t>
  </si>
  <si>
    <t>Jak używać programu</t>
  </si>
  <si>
    <t>Si vous utilisez un outil qui ne se trouve pas dans la liste, vous pouvez saisir le diamètre de la fraise, la longueur de coupe et le nombre de dents dans les plages 5-7.</t>
  </si>
  <si>
    <t>Fraises à fileter avec une ou 2 dents par goujure</t>
  </si>
  <si>
    <t>Acier inoxydable,ferretique et austenique</t>
  </si>
  <si>
    <t>Titanium, pur</t>
  </si>
  <si>
    <t>Titanium allié, &lt; 900 N/mm2</t>
  </si>
  <si>
    <t>Titanium, allié, &lt; 1250 N/mm2</t>
  </si>
  <si>
    <t>Acier refractaire, Nickel pur &lt; 500 N/mm2</t>
  </si>
  <si>
    <t>Acier refractaire, Nickel Chrome allié &lt; 900 N/mm2</t>
  </si>
  <si>
    <r>
      <t>鈦合金</t>
    </r>
    <r>
      <rPr>
        <sz val="9"/>
        <rFont val="Verdana"/>
        <family val="2"/>
      </rPr>
      <t>, &lt; 1250 N/mm2</t>
    </r>
    <phoneticPr fontId="4"/>
  </si>
  <si>
    <r>
      <t>純鎳</t>
    </r>
    <r>
      <rPr>
        <sz val="9"/>
        <rFont val="Verdana"/>
        <family val="2"/>
      </rPr>
      <t>, &lt; 500 N/mm2</t>
    </r>
    <phoneticPr fontId="4"/>
  </si>
  <si>
    <r>
      <t>鎳合金</t>
    </r>
    <r>
      <rPr>
        <sz val="9"/>
        <rFont val="Verdana"/>
        <family val="2"/>
      </rPr>
      <t>, &lt; 900 N/mm2</t>
    </r>
    <phoneticPr fontId="4"/>
  </si>
  <si>
    <r>
      <t>鎳合金</t>
    </r>
    <r>
      <rPr>
        <sz val="9"/>
        <rFont val="Verdana"/>
        <family val="2"/>
      </rPr>
      <t>, &lt; 1250 N/mm2</t>
    </r>
    <phoneticPr fontId="4"/>
  </si>
  <si>
    <t>灰口鑄鐵, &lt; 1000 N/mm2</t>
  </si>
  <si>
    <t>Le programme produira automatiquement le filetage en plusieurs étapes si la fraise à fileter a une longueur utile plus petite que la longueur demandée.</t>
  </si>
  <si>
    <t>Fraise à fileter à inserts indexables</t>
  </si>
  <si>
    <t>Acier refractaire, Nickel Chrome allié &lt; 1200 N/mm2</t>
  </si>
  <si>
    <t>Narzędzia Niewymienione lub Specjalne</t>
  </si>
  <si>
    <t>Outils non repertoriés ou spéciaux</t>
  </si>
  <si>
    <t>acier, faible taux de carbone, &lt; 0,25% C, &lt; 400 N/mm2</t>
  </si>
  <si>
    <t>acier, faible taux de carbone, &lt; 0,55% C, &lt; 700 N/mm2</t>
  </si>
  <si>
    <t>acier, taux de carbone élévé, &lt; 0,85% C, &lt; 850 N/mm2</t>
  </si>
  <si>
    <t>acier, faible alliage, &lt; 850 N/mm2</t>
  </si>
  <si>
    <t>acier, alliage elevé, &lt; 1200 N/mm2</t>
  </si>
  <si>
    <t>acier, trempé, &lt; 45 HRC</t>
  </si>
  <si>
    <t>acier, trempé, &lt; 55 HRC</t>
  </si>
  <si>
    <t>acier, trempé, &lt; 65 HRC</t>
  </si>
  <si>
    <t>Fonte d'acier, Lamellar Graphite, &lt; 500 N/mm2</t>
  </si>
  <si>
    <t>Korygowanie średnicy gwintu</t>
  </si>
  <si>
    <t>Le diamètre de la fraise est au dessus du dernier filetage le plus près de la queue. Il est donc nécessaire d'enregister le diamètre de filetage là où cette partie de la fraise travaille.</t>
  </si>
  <si>
    <t>Retour</t>
  </si>
  <si>
    <t>Wewntrzne frezowanie gwintów na centra obróbcze</t>
  </si>
  <si>
    <t xml:space="preserve">Wewntrzne frezowanie gwintów na tokarkach </t>
  </si>
  <si>
    <t>Stal, niskowęglowa, &lt; 0,25% C, &lt; 400 N/mm2</t>
  </si>
  <si>
    <t>Stal ,średniowęglowa, &lt; 0,55% C, &lt; 700 N/mm2</t>
  </si>
  <si>
    <t>Stal, wysokowęglowa, &lt; 0,85% C, &lt; 850 N/mm2</t>
  </si>
  <si>
    <r>
      <t>高張力鎳合金，如</t>
    </r>
    <r>
      <rPr>
        <sz val="9"/>
        <rFont val="Verdana"/>
        <family val="2"/>
      </rPr>
      <t>Inconel 718</t>
    </r>
    <phoneticPr fontId="4"/>
  </si>
  <si>
    <t>石墨</t>
    <phoneticPr fontId="4"/>
  </si>
  <si>
    <r>
      <t xml:space="preserve">D = </t>
    </r>
    <r>
      <rPr>
        <sz val="9"/>
        <rFont val="細明體"/>
        <family val="3"/>
        <charset val="136"/>
      </rPr>
      <t>銑牙外徑</t>
    </r>
    <r>
      <rPr>
        <sz val="9"/>
        <rFont val="Verdana"/>
        <family val="2"/>
      </rPr>
      <t xml:space="preserve"> (mm)</t>
    </r>
    <phoneticPr fontId="4"/>
  </si>
  <si>
    <r>
      <t xml:space="preserve">P = </t>
    </r>
    <r>
      <rPr>
        <sz val="9"/>
        <rFont val="細明體"/>
        <family val="3"/>
        <charset val="136"/>
      </rPr>
      <t>牙距</t>
    </r>
    <r>
      <rPr>
        <sz val="9"/>
        <rFont val="Verdana"/>
        <family val="2"/>
      </rPr>
      <t xml:space="preserve"> (mm)</t>
    </r>
    <phoneticPr fontId="4"/>
  </si>
  <si>
    <r>
      <t xml:space="preserve">P = </t>
    </r>
    <r>
      <rPr>
        <sz val="9"/>
        <rFont val="細明體"/>
        <family val="3"/>
        <charset val="136"/>
      </rPr>
      <t>每英吋牙數</t>
    </r>
    <r>
      <rPr>
        <sz val="9"/>
        <rFont val="Verdana"/>
        <family val="2"/>
      </rPr>
      <t xml:space="preserve"> (TPI)</t>
    </r>
    <phoneticPr fontId="4"/>
  </si>
  <si>
    <r>
      <t xml:space="preserve">Fd = </t>
    </r>
    <r>
      <rPr>
        <sz val="9"/>
        <rFont val="細明體"/>
        <family val="3"/>
        <charset val="136"/>
      </rPr>
      <t>中心銑牙進給</t>
    </r>
    <r>
      <rPr>
        <sz val="9"/>
        <rFont val="Verdana"/>
        <family val="2"/>
      </rPr>
      <t xml:space="preserve"> (mm/min)</t>
    </r>
    <phoneticPr fontId="4"/>
  </si>
  <si>
    <t>Aluminium ,Niestopowe</t>
  </si>
  <si>
    <t>Aluminium ,Stopowe, &lt; 0.5% Si</t>
  </si>
  <si>
    <t>Aluminium ,Stopowe, &lt; 10% Si</t>
  </si>
  <si>
    <t>Aluminium ,Stopowe, &gt; 10% Si</t>
  </si>
  <si>
    <t>D=Średnica gwintu</t>
  </si>
  <si>
    <t>P= skok(mm)</t>
  </si>
  <si>
    <t>P= skok(TPI)</t>
  </si>
  <si>
    <t>L= Długość gwintu (mm)</t>
  </si>
  <si>
    <t>Choisissez d'abord la langue en bas à droite, faîtes votre choix dans le menu déroulant puis remplissez les quatre premières plages. En saisissant un minimum d'informations, le programme vous présente une gamme de fraises préconisées. Après avoir choisi une des fraises, les informations concernant la fraise, les conditions de coupe préconisées et le temps nécessaire à la production du filetage s'affichent. Le programme CNC complet s'affiche également. Le programme CNC peut être copié et transféré dans votre dossier CNC. Les 6 plages restantes seront à compléter uniquement si vous n'acceptez pas les recommandations.</t>
  </si>
  <si>
    <t>Rectification de l'outillage</t>
  </si>
  <si>
    <t xml:space="preserve"> Program CNC dla Fagora</t>
  </si>
  <si>
    <t xml:space="preserve"> Program CNC dla Mazaka</t>
  </si>
  <si>
    <t xml:space="preserve"> Program CNC dla Mitsubishi</t>
  </si>
  <si>
    <t>Frezowanie gwintu</t>
  </si>
  <si>
    <t>Proszę przeczytać przed urzyciem!</t>
  </si>
  <si>
    <t>Ostrzeżenie!</t>
  </si>
  <si>
    <t>Dans ce programme,  la rectification de l'outillage est uniquement utilisée pour des faibles ajustements. Cela élimine les problèmes qui peuvent apparaître lorsque l'on rectifie le rayon par petit mouvements. Choisissez donc  une valeur proche de zéro pour le diamètre de coupe dans la librairie du système de contrôle.</t>
  </si>
  <si>
    <t>Un diamètre de filetage correct dès le début</t>
  </si>
  <si>
    <r>
      <t>不鏽鋼</t>
    </r>
    <r>
      <rPr>
        <sz val="9"/>
        <rFont val="Verdana"/>
        <family val="2"/>
      </rPr>
      <t>, Austenitic</t>
    </r>
    <r>
      <rPr>
        <sz val="9"/>
        <rFont val="細明體"/>
        <family val="3"/>
        <charset val="136"/>
      </rPr>
      <t>系列，如</t>
    </r>
    <r>
      <rPr>
        <sz val="9"/>
        <rFont val="Verdana"/>
        <family val="2"/>
      </rPr>
      <t>SUS304/SUS316</t>
    </r>
    <phoneticPr fontId="4"/>
  </si>
  <si>
    <t>Fonte d'acier, Nodular Grap., malleable, &lt; 1000 N/mm2</t>
  </si>
  <si>
    <t xml:space="preserve">Acier inoxydable, </t>
  </si>
  <si>
    <t>Acier inoxydable, austenique</t>
  </si>
  <si>
    <t>T= temps nécessaire pour fraiser le filetage (seconds)</t>
  </si>
  <si>
    <t>CNC programme pour Fanuc</t>
  </si>
  <si>
    <t>CNC programme pour Siemens</t>
  </si>
  <si>
    <r>
      <t>純銅</t>
    </r>
    <r>
      <rPr>
        <sz val="9"/>
        <rFont val="Verdana"/>
        <family val="2"/>
      </rPr>
      <t>, &lt; 350 N/mm2</t>
    </r>
    <phoneticPr fontId="4"/>
  </si>
  <si>
    <t>程式會提示銑牙刀基本數據</t>
    <phoneticPr fontId="4"/>
  </si>
  <si>
    <r>
      <t>銅</t>
    </r>
    <r>
      <rPr>
        <sz val="9"/>
        <rFont val="Verdana"/>
        <family val="2"/>
      </rPr>
      <t xml:space="preserve">, </t>
    </r>
    <r>
      <rPr>
        <sz val="9"/>
        <rFont val="細明體"/>
        <family val="3"/>
        <charset val="136"/>
      </rPr>
      <t>黃銅</t>
    </r>
    <r>
      <rPr>
        <sz val="9"/>
        <rFont val="Verdana"/>
        <family val="2"/>
      </rPr>
      <t xml:space="preserve">, </t>
    </r>
    <r>
      <rPr>
        <sz val="9"/>
        <rFont val="細明體"/>
        <family val="3"/>
        <charset val="136"/>
      </rPr>
      <t>青銅</t>
    </r>
    <r>
      <rPr>
        <sz val="9"/>
        <rFont val="Verdana"/>
        <family val="2"/>
      </rPr>
      <t>, &lt; 700 N/mm2</t>
    </r>
    <phoneticPr fontId="4"/>
  </si>
  <si>
    <r>
      <t>銅</t>
    </r>
    <r>
      <rPr>
        <sz val="9"/>
        <rFont val="Verdana"/>
        <family val="2"/>
      </rPr>
      <t xml:space="preserve">, </t>
    </r>
    <r>
      <rPr>
        <sz val="9"/>
        <rFont val="細明體"/>
        <family val="3"/>
        <charset val="136"/>
      </rPr>
      <t>高張力青銅</t>
    </r>
    <r>
      <rPr>
        <sz val="9"/>
        <rFont val="Verdana"/>
        <family val="2"/>
      </rPr>
      <t>, &lt; 1500 N/mm2</t>
    </r>
    <phoneticPr fontId="4"/>
  </si>
  <si>
    <t>純鋁</t>
    <phoneticPr fontId="4"/>
  </si>
  <si>
    <r>
      <t>鋁合金</t>
    </r>
    <r>
      <rPr>
        <sz val="9"/>
        <rFont val="Verdana"/>
        <family val="2"/>
      </rPr>
      <t xml:space="preserve">, &lt; 0.5% </t>
    </r>
    <r>
      <rPr>
        <sz val="9"/>
        <rFont val="細明體"/>
        <family val="3"/>
        <charset val="136"/>
      </rPr>
      <t>矽</t>
    </r>
    <phoneticPr fontId="4"/>
  </si>
  <si>
    <t>Fonte d'acier, Lamellar Graphite, &lt;1000 N/mm2</t>
  </si>
  <si>
    <r>
      <t xml:space="preserve">Mitsubishi </t>
    </r>
    <r>
      <rPr>
        <sz val="9"/>
        <rFont val="細明體"/>
        <family val="3"/>
        <charset val="136"/>
      </rPr>
      <t>之</t>
    </r>
    <r>
      <rPr>
        <sz val="9"/>
        <rFont val="Verdana"/>
        <family val="2"/>
      </rPr>
      <t xml:space="preserve">CNC </t>
    </r>
    <r>
      <rPr>
        <sz val="9"/>
        <rFont val="細明體"/>
        <family val="3"/>
        <charset val="136"/>
      </rPr>
      <t>銑牙程式</t>
    </r>
    <phoneticPr fontId="4"/>
  </si>
  <si>
    <t>銑牙刀</t>
    <phoneticPr fontId="4"/>
  </si>
  <si>
    <t>使用前請先閱讀</t>
    <phoneticPr fontId="4"/>
  </si>
  <si>
    <t>使用車床銑內牙</t>
    <phoneticPr fontId="4"/>
  </si>
  <si>
    <r>
      <t>公制牙</t>
    </r>
    <r>
      <rPr>
        <sz val="9"/>
        <rFont val="Verdana"/>
        <family val="2"/>
      </rPr>
      <t>-M</t>
    </r>
    <phoneticPr fontId="4"/>
  </si>
  <si>
    <r>
      <t>美制牙</t>
    </r>
    <r>
      <rPr>
        <sz val="9"/>
        <rFont val="Verdana"/>
        <family val="2"/>
      </rPr>
      <t>-UN</t>
    </r>
    <phoneticPr fontId="4"/>
  </si>
  <si>
    <t>Filetage interne par interpolation sur CNC fraiseuse</t>
  </si>
  <si>
    <t>Filetage interne par interpolation sur CNC tour</t>
  </si>
  <si>
    <t>M</t>
  </si>
  <si>
    <t>UN</t>
  </si>
  <si>
    <t xml:space="preserve">G  </t>
  </si>
  <si>
    <t>BSPT</t>
  </si>
  <si>
    <t>NPT</t>
  </si>
  <si>
    <t>NPSF</t>
  </si>
  <si>
    <r>
      <t>英制直管牙</t>
    </r>
    <r>
      <rPr>
        <sz val="9"/>
        <rFont val="Verdana"/>
        <family val="2"/>
      </rPr>
      <t>-G</t>
    </r>
    <phoneticPr fontId="4"/>
  </si>
  <si>
    <r>
      <t>硬化合金鋼</t>
    </r>
    <r>
      <rPr>
        <sz val="9"/>
        <rFont val="Verdana"/>
        <family val="2"/>
      </rPr>
      <t>, &lt; 55 HRC</t>
    </r>
    <phoneticPr fontId="4"/>
  </si>
  <si>
    <r>
      <t>鋁合金</t>
    </r>
    <r>
      <rPr>
        <sz val="9"/>
        <rFont val="Verdana"/>
        <family val="2"/>
      </rPr>
      <t xml:space="preserve">, &lt; 10% </t>
    </r>
    <r>
      <rPr>
        <sz val="9"/>
        <rFont val="細明體"/>
        <family val="3"/>
        <charset val="136"/>
      </rPr>
      <t>矽</t>
    </r>
    <phoneticPr fontId="4"/>
  </si>
  <si>
    <r>
      <t>鋁合金</t>
    </r>
    <r>
      <rPr>
        <sz val="9"/>
        <rFont val="Verdana"/>
        <family val="2"/>
      </rPr>
      <t xml:space="preserve">, &gt; 10% </t>
    </r>
    <r>
      <rPr>
        <sz val="9"/>
        <rFont val="細明體"/>
        <family val="3"/>
        <charset val="136"/>
      </rPr>
      <t>矽</t>
    </r>
    <phoneticPr fontId="4"/>
  </si>
  <si>
    <t>Jos valitset vakiotyökalun yhdellä tai kahdella hampaalla,tyyppi NM,valitsee ohjelma autommaattisesti kierron joka valmistaa kierteen.</t>
  </si>
  <si>
    <r>
      <t>硬化合金鋼</t>
    </r>
    <r>
      <rPr>
        <sz val="9"/>
        <rFont val="Verdana"/>
        <family val="2"/>
      </rPr>
      <t>, &lt; 65 HRC</t>
    </r>
    <phoneticPr fontId="4"/>
  </si>
  <si>
    <r>
      <t>灰口鑄鐵</t>
    </r>
    <r>
      <rPr>
        <sz val="9"/>
        <rFont val="Verdana"/>
        <family val="2"/>
      </rPr>
      <t>, &lt; 500 N/mm2</t>
    </r>
    <phoneticPr fontId="4"/>
  </si>
  <si>
    <r>
      <t>球狀石墨鑄鐵</t>
    </r>
    <r>
      <rPr>
        <sz val="9"/>
        <rFont val="Verdana"/>
        <family val="2"/>
      </rPr>
      <t xml:space="preserve">, </t>
    </r>
    <r>
      <rPr>
        <sz val="9"/>
        <rFont val="細明體"/>
        <family val="3"/>
        <charset val="136"/>
      </rPr>
      <t>可鍛鑄鐵</t>
    </r>
    <r>
      <rPr>
        <sz val="9"/>
        <rFont val="Verdana"/>
        <family val="2"/>
      </rPr>
      <t>, &lt; 700 N/mm2</t>
    </r>
    <phoneticPr fontId="4"/>
  </si>
  <si>
    <r>
      <t>球狀石墨鑄鐵</t>
    </r>
    <r>
      <rPr>
        <sz val="9"/>
        <rFont val="Verdana"/>
        <family val="2"/>
      </rPr>
      <t xml:space="preserve">, </t>
    </r>
    <r>
      <rPr>
        <sz val="9"/>
        <rFont val="細明體"/>
        <family val="3"/>
        <charset val="136"/>
      </rPr>
      <t>可鍛鑄鐵</t>
    </r>
    <r>
      <rPr>
        <sz val="9"/>
        <rFont val="Verdana"/>
        <family val="2"/>
      </rPr>
      <t>, &lt; 1000 N/mm2</t>
    </r>
    <phoneticPr fontId="4"/>
  </si>
  <si>
    <t>Программа автоматически делает спираль от начала до конца резьбы, если выбирать стандартный тип резка NM с одной или двумя зубцами. Если вы хотите делать то же самое с другим инструментом, вам нужно зарегистрировать шаг как длину режущего края в квадрате 6.</t>
  </si>
  <si>
    <t>Резьбовые фрезы с маленькой шейкой</t>
  </si>
  <si>
    <t>Cuivre, Bronze trempé, &lt; 1500 N/mm2</t>
  </si>
  <si>
    <t>Alluminium, non allié</t>
  </si>
  <si>
    <t>Alluminium, allié, &lt; 0,5% Si</t>
  </si>
  <si>
    <t>Alluminium, allié, &lt; 10% Si</t>
  </si>
  <si>
    <t>D= diamètre de taraudage (mm)</t>
  </si>
  <si>
    <t>P= pas (mm)</t>
  </si>
  <si>
    <t>P= pas (TPI)</t>
  </si>
  <si>
    <t>V= vitesse de coupe (m/min)</t>
  </si>
  <si>
    <t>Fz = avance /dent (mm/dent)</t>
  </si>
  <si>
    <t>Nombre de passages, radial (max 3)</t>
  </si>
  <si>
    <t>Nombre de passages, axial</t>
  </si>
  <si>
    <t>N = vitesse de broche (rpm)</t>
  </si>
  <si>
    <t>FD= avance au diamètre de filetage</t>
  </si>
  <si>
    <t>Диаметр резака больше последней полной ближайшей к валу резьбы. Поэтому необходимо зарегистрировать диаметр резьбы в том месте, где эта часть фрезы работает.</t>
  </si>
  <si>
    <t>назад</t>
  </si>
  <si>
    <t>中文繁體 (kinesiska, traditionell)</t>
  </si>
  <si>
    <t>Diametrul de taiere este mai mare decit ultimul filet complet de linga ax (corp). De aceea trebuie notat diametrul de taiere acolo unde aceasta parte a frezei lucreaza .</t>
  </si>
  <si>
    <t>inapoi</t>
  </si>
  <si>
    <t>sisäpuolinen kierrejyrsintä työstökeskuksessa</t>
  </si>
  <si>
    <t>sisäpuolinen kierrejyrsintä sorvissa pyörivillä työkaluilla</t>
  </si>
  <si>
    <t>Alumiini, ei seostettu</t>
  </si>
  <si>
    <t>Cuivre, pur, &lt; 350 N/mm2</t>
  </si>
  <si>
    <t>Cuivre, Laiton, Bronze, &lt; 700 N/mm2</t>
  </si>
  <si>
    <t>Fd= avance au centre de la fraise (mm/min)</t>
  </si>
  <si>
    <t>Правильный диаметр резьбы сразу же</t>
  </si>
  <si>
    <t>Inconelli 718</t>
  </si>
  <si>
    <t>Grafiitti</t>
  </si>
  <si>
    <t>CNC programme pour Num</t>
  </si>
  <si>
    <t>CNC programme pour Fagor</t>
  </si>
  <si>
    <t>CNC programme pour Mazak</t>
  </si>
  <si>
    <t>CNC programme pour Mitsubishi</t>
  </si>
  <si>
    <t>Fraisage de Filetage</t>
  </si>
  <si>
    <t>Merci de lire avant utilisation !</t>
  </si>
  <si>
    <t>Attention !</t>
  </si>
  <si>
    <t>較小的銑牙刀刃徑</t>
    <phoneticPr fontId="4"/>
  </si>
  <si>
    <t>錐度銑牙</t>
    <phoneticPr fontId="4"/>
  </si>
  <si>
    <t>Компенсация инструментальной оснастки</t>
  </si>
  <si>
    <r>
      <t>銑牙次數</t>
    </r>
    <r>
      <rPr>
        <sz val="9"/>
        <rFont val="Verdana"/>
        <family val="2"/>
      </rPr>
      <t xml:space="preserve">, </t>
    </r>
    <r>
      <rPr>
        <sz val="9"/>
        <rFont val="細明體"/>
        <family val="3"/>
        <charset val="136"/>
      </rPr>
      <t>軸向</t>
    </r>
    <phoneticPr fontId="4"/>
  </si>
  <si>
    <r>
      <t xml:space="preserve">N = </t>
    </r>
    <r>
      <rPr>
        <sz val="9"/>
        <rFont val="細明體"/>
        <family val="3"/>
        <charset val="136"/>
      </rPr>
      <t>轉速</t>
    </r>
    <r>
      <rPr>
        <sz val="9"/>
        <rFont val="Verdana"/>
        <family val="2"/>
      </rPr>
      <t xml:space="preserve"> (rpm)</t>
    </r>
    <phoneticPr fontId="4"/>
  </si>
  <si>
    <r>
      <t xml:space="preserve">FD = </t>
    </r>
    <r>
      <rPr>
        <sz val="9"/>
        <rFont val="細明體"/>
        <family val="3"/>
        <charset val="136"/>
      </rPr>
      <t>牙徑進給</t>
    </r>
    <r>
      <rPr>
        <sz val="9"/>
        <rFont val="Verdana"/>
        <family val="2"/>
      </rPr>
      <t xml:space="preserve"> (mm/min)</t>
    </r>
    <phoneticPr fontId="4"/>
  </si>
  <si>
    <r>
      <t>警告</t>
    </r>
    <r>
      <rPr>
        <sz val="10"/>
        <rFont val="Verdana"/>
        <family val="2"/>
      </rPr>
      <t>!</t>
    </r>
    <phoneticPr fontId="4"/>
  </si>
  <si>
    <t>如何使用本程式</t>
    <phoneticPr fontId="4"/>
  </si>
  <si>
    <t>修整切削</t>
    <phoneticPr fontId="4"/>
  </si>
  <si>
    <t>即刻校正銑牙刀刃徑</t>
    <phoneticPr fontId="4"/>
  </si>
  <si>
    <t>非程式選用刀具及特殊加工</t>
    <phoneticPr fontId="4"/>
  </si>
  <si>
    <r>
      <t>使用</t>
    </r>
    <r>
      <rPr>
        <sz val="9"/>
        <rFont val="Verdana"/>
        <family val="2"/>
      </rPr>
      <t xml:space="preserve"> CNC </t>
    </r>
    <r>
      <rPr>
        <sz val="9"/>
        <rFont val="細明體"/>
        <family val="3"/>
        <charset val="136"/>
      </rPr>
      <t>銑床銑內牙</t>
    </r>
    <phoneticPr fontId="4"/>
  </si>
  <si>
    <t>Fonte d'acier, Nodular Grap., malleable, &lt; 700 N/mm2</t>
  </si>
  <si>
    <t>Как пользоваться программой</t>
  </si>
  <si>
    <r>
      <t xml:space="preserve">L = </t>
    </r>
    <r>
      <rPr>
        <sz val="9"/>
        <rFont val="細明體"/>
        <family val="3"/>
        <charset val="136"/>
      </rPr>
      <t>銑牙深度</t>
    </r>
    <r>
      <rPr>
        <sz val="9"/>
        <rFont val="Verdana"/>
        <family val="2"/>
      </rPr>
      <t xml:space="preserve"> (mm)</t>
    </r>
    <phoneticPr fontId="4"/>
  </si>
  <si>
    <r>
      <t xml:space="preserve">S = </t>
    </r>
    <r>
      <rPr>
        <sz val="9"/>
        <rFont val="細明體"/>
        <family val="3"/>
        <charset val="136"/>
      </rPr>
      <t>安全距離</t>
    </r>
    <r>
      <rPr>
        <sz val="9"/>
        <rFont val="Verdana"/>
        <family val="2"/>
      </rPr>
      <t xml:space="preserve"> (mm)</t>
    </r>
    <phoneticPr fontId="4"/>
  </si>
  <si>
    <r>
      <t xml:space="preserve">d = </t>
    </r>
    <r>
      <rPr>
        <sz val="9"/>
        <rFont val="細明體"/>
        <family val="3"/>
        <charset val="136"/>
      </rPr>
      <t>銑牙刀刃外徑</t>
    </r>
    <r>
      <rPr>
        <sz val="9"/>
        <rFont val="Verdana"/>
        <family val="2"/>
      </rPr>
      <t xml:space="preserve"> (mm)</t>
    </r>
    <phoneticPr fontId="4"/>
  </si>
  <si>
    <r>
      <t xml:space="preserve">l = </t>
    </r>
    <r>
      <rPr>
        <sz val="9"/>
        <rFont val="細明體"/>
        <family val="3"/>
        <charset val="136"/>
      </rPr>
      <t>銑牙刀刃長度</t>
    </r>
    <r>
      <rPr>
        <sz val="9"/>
        <rFont val="Verdana"/>
        <family val="2"/>
      </rPr>
      <t xml:space="preserve"> (mm)</t>
    </r>
    <phoneticPr fontId="4"/>
  </si>
  <si>
    <r>
      <t xml:space="preserve">z = </t>
    </r>
    <r>
      <rPr>
        <sz val="9"/>
        <rFont val="細明體"/>
        <family val="3"/>
        <charset val="136"/>
      </rPr>
      <t>銑牙刀刃數</t>
    </r>
    <phoneticPr fontId="4"/>
  </si>
  <si>
    <r>
      <t xml:space="preserve">V = </t>
    </r>
    <r>
      <rPr>
        <sz val="9"/>
        <rFont val="細明體"/>
        <family val="3"/>
        <charset val="136"/>
      </rPr>
      <t>切削速度</t>
    </r>
    <r>
      <rPr>
        <sz val="9"/>
        <rFont val="Verdana"/>
        <family val="2"/>
      </rPr>
      <t xml:space="preserve"> (m/min)</t>
    </r>
    <phoneticPr fontId="4"/>
  </si>
  <si>
    <r>
      <t xml:space="preserve">Fz = </t>
    </r>
    <r>
      <rPr>
        <sz val="9"/>
        <rFont val="細明體"/>
        <family val="3"/>
        <charset val="136"/>
      </rPr>
      <t>每牙進給量</t>
    </r>
    <r>
      <rPr>
        <sz val="9"/>
        <rFont val="Verdana"/>
        <family val="2"/>
      </rPr>
      <t xml:space="preserve"> (mm/tooth)</t>
    </r>
    <phoneticPr fontId="4"/>
  </si>
  <si>
    <r>
      <t>銑牙次數</t>
    </r>
    <r>
      <rPr>
        <sz val="9"/>
        <rFont val="Verdana"/>
        <family val="2"/>
      </rPr>
      <t xml:space="preserve">, </t>
    </r>
    <r>
      <rPr>
        <sz val="9"/>
        <rFont val="細明體"/>
        <family val="3"/>
        <charset val="136"/>
      </rPr>
      <t>徑向</t>
    </r>
    <r>
      <rPr>
        <sz val="9"/>
        <rFont val="Verdana"/>
        <family val="2"/>
      </rPr>
      <t xml:space="preserve"> (max 3)</t>
    </r>
    <phoneticPr fontId="4"/>
  </si>
  <si>
    <r>
      <t>T =</t>
    </r>
    <r>
      <rPr>
        <sz val="9"/>
        <rFont val="細明體"/>
        <family val="3"/>
        <charset val="136"/>
      </rPr>
      <t>完成銑牙時間</t>
    </r>
    <r>
      <rPr>
        <sz val="9"/>
        <rFont val="Verdana"/>
        <family val="2"/>
      </rPr>
      <t xml:space="preserve"> (seconds)</t>
    </r>
    <phoneticPr fontId="4"/>
  </si>
  <si>
    <r>
      <t xml:space="preserve">Fanuc </t>
    </r>
    <r>
      <rPr>
        <sz val="9"/>
        <rFont val="細明體"/>
        <family val="3"/>
        <charset val="136"/>
      </rPr>
      <t>之</t>
    </r>
    <r>
      <rPr>
        <sz val="9"/>
        <rFont val="Verdana"/>
        <family val="2"/>
      </rPr>
      <t xml:space="preserve">CNC </t>
    </r>
    <r>
      <rPr>
        <sz val="9"/>
        <rFont val="細明體"/>
        <family val="3"/>
        <charset val="136"/>
      </rPr>
      <t>銑牙程式</t>
    </r>
    <phoneticPr fontId="4"/>
  </si>
  <si>
    <r>
      <t xml:space="preserve">Heidenhein </t>
    </r>
    <r>
      <rPr>
        <sz val="9"/>
        <rFont val="細明體"/>
        <family val="3"/>
        <charset val="136"/>
      </rPr>
      <t>之</t>
    </r>
    <r>
      <rPr>
        <sz val="9"/>
        <rFont val="Verdana"/>
        <family val="2"/>
      </rPr>
      <t xml:space="preserve">CNC </t>
    </r>
    <r>
      <rPr>
        <sz val="9"/>
        <rFont val="細明體"/>
        <family val="3"/>
        <charset val="136"/>
      </rPr>
      <t>銑牙程式</t>
    </r>
    <phoneticPr fontId="4"/>
  </si>
  <si>
    <r>
      <t xml:space="preserve">Siemens </t>
    </r>
    <r>
      <rPr>
        <sz val="9"/>
        <rFont val="細明體"/>
        <family val="3"/>
        <charset val="136"/>
      </rPr>
      <t>之</t>
    </r>
    <r>
      <rPr>
        <sz val="9"/>
        <rFont val="Verdana"/>
        <family val="2"/>
      </rPr>
      <t xml:space="preserve">CNC </t>
    </r>
    <r>
      <rPr>
        <sz val="9"/>
        <rFont val="細明體"/>
        <family val="3"/>
        <charset val="136"/>
      </rPr>
      <t>銑牙程式</t>
    </r>
    <phoneticPr fontId="4"/>
  </si>
  <si>
    <r>
      <t xml:space="preserve">Num </t>
    </r>
    <r>
      <rPr>
        <sz val="9"/>
        <rFont val="細明體"/>
        <family val="3"/>
        <charset val="136"/>
      </rPr>
      <t>之</t>
    </r>
    <r>
      <rPr>
        <sz val="9"/>
        <rFont val="Verdana"/>
        <family val="2"/>
      </rPr>
      <t xml:space="preserve">CNC </t>
    </r>
    <r>
      <rPr>
        <sz val="9"/>
        <rFont val="細明體"/>
        <family val="3"/>
        <charset val="136"/>
      </rPr>
      <t>銑牙程式</t>
    </r>
    <phoneticPr fontId="4"/>
  </si>
  <si>
    <r>
      <t xml:space="preserve">Fagor </t>
    </r>
    <r>
      <rPr>
        <sz val="9"/>
        <rFont val="細明體"/>
        <family val="3"/>
        <charset val="136"/>
      </rPr>
      <t>之</t>
    </r>
    <r>
      <rPr>
        <sz val="9"/>
        <rFont val="Verdana"/>
        <family val="2"/>
      </rPr>
      <t xml:space="preserve">CNC </t>
    </r>
    <r>
      <rPr>
        <sz val="9"/>
        <rFont val="細明體"/>
        <family val="3"/>
        <charset val="136"/>
      </rPr>
      <t>銑牙程式</t>
    </r>
    <phoneticPr fontId="4"/>
  </si>
  <si>
    <r>
      <t xml:space="preserve">Mazak </t>
    </r>
    <r>
      <rPr>
        <sz val="9"/>
        <rFont val="細明體"/>
        <family val="3"/>
        <charset val="136"/>
      </rPr>
      <t>之</t>
    </r>
    <r>
      <rPr>
        <sz val="9"/>
        <rFont val="Verdana"/>
        <family val="2"/>
      </rPr>
      <t xml:space="preserve">CNC </t>
    </r>
    <r>
      <rPr>
        <sz val="9"/>
        <rFont val="細明體"/>
        <family val="3"/>
        <charset val="136"/>
      </rPr>
      <t>銑牙程式</t>
    </r>
    <phoneticPr fontId="4"/>
  </si>
  <si>
    <t>Не включенные в списки и специальные инструменты</t>
  </si>
  <si>
    <r>
      <t>英制斜管牙</t>
    </r>
    <r>
      <rPr>
        <sz val="9"/>
        <rFont val="Verdana"/>
        <family val="2"/>
      </rPr>
      <t>-BSPT</t>
    </r>
    <phoneticPr fontId="4"/>
  </si>
  <si>
    <r>
      <t>美制斜管牙</t>
    </r>
    <r>
      <rPr>
        <sz val="9"/>
        <rFont val="Verdana"/>
        <family val="2"/>
      </rPr>
      <t>-NPT</t>
    </r>
    <phoneticPr fontId="4"/>
  </si>
  <si>
    <r>
      <t>美制斜管牙</t>
    </r>
    <r>
      <rPr>
        <sz val="9"/>
        <rFont val="Verdana"/>
        <family val="2"/>
      </rPr>
      <t>-NPTF</t>
    </r>
    <phoneticPr fontId="4"/>
  </si>
  <si>
    <r>
      <t>美制斜管牙</t>
    </r>
    <r>
      <rPr>
        <sz val="9"/>
        <rFont val="Verdana"/>
        <family val="2"/>
      </rPr>
      <t>-NPSF</t>
    </r>
    <phoneticPr fontId="4"/>
  </si>
  <si>
    <r>
      <t>鋼管牙</t>
    </r>
    <r>
      <rPr>
        <sz val="9"/>
        <rFont val="Verdana"/>
        <family val="2"/>
      </rPr>
      <t>-PG</t>
    </r>
    <phoneticPr fontId="4"/>
  </si>
  <si>
    <r>
      <t>低碳鋼</t>
    </r>
    <r>
      <rPr>
        <sz val="9"/>
        <rFont val="Verdana"/>
        <family val="2"/>
      </rPr>
      <t xml:space="preserve">, &lt; 0,25% </t>
    </r>
    <r>
      <rPr>
        <sz val="9"/>
        <rFont val="細明體"/>
        <family val="3"/>
        <charset val="136"/>
      </rPr>
      <t>碳</t>
    </r>
    <r>
      <rPr>
        <sz val="9"/>
        <rFont val="Verdana"/>
        <family val="2"/>
      </rPr>
      <t>, &lt; 400 N/mm2</t>
    </r>
    <phoneticPr fontId="4"/>
  </si>
  <si>
    <r>
      <t>中碳鋼</t>
    </r>
    <r>
      <rPr>
        <sz val="9"/>
        <rFont val="Verdana"/>
        <family val="2"/>
      </rPr>
      <t xml:space="preserve">, &lt; 0,55% </t>
    </r>
    <r>
      <rPr>
        <sz val="9"/>
        <rFont val="細明體"/>
        <family val="3"/>
        <charset val="136"/>
      </rPr>
      <t>碳</t>
    </r>
    <r>
      <rPr>
        <sz val="9"/>
        <rFont val="Verdana"/>
        <family val="2"/>
      </rPr>
      <t>, &lt; 700 N/mm2</t>
    </r>
    <phoneticPr fontId="4"/>
  </si>
  <si>
    <r>
      <t>高碳鋼</t>
    </r>
    <r>
      <rPr>
        <sz val="9"/>
        <rFont val="Verdana"/>
        <family val="2"/>
      </rPr>
      <t xml:space="preserve">, &lt; 0,85% </t>
    </r>
    <r>
      <rPr>
        <sz val="9"/>
        <rFont val="細明體"/>
        <family val="3"/>
        <charset val="136"/>
      </rPr>
      <t>碳</t>
    </r>
    <r>
      <rPr>
        <sz val="9"/>
        <rFont val="Verdana"/>
        <family val="2"/>
      </rPr>
      <t>, &lt; 850 N/mm2</t>
    </r>
    <phoneticPr fontId="4"/>
  </si>
  <si>
    <r>
      <t>低合金鋼</t>
    </r>
    <r>
      <rPr>
        <sz val="9"/>
        <rFont val="Verdana"/>
        <family val="2"/>
      </rPr>
      <t>, &lt; 850 N/mm2</t>
    </r>
    <phoneticPr fontId="4"/>
  </si>
  <si>
    <r>
      <t>高合金鋼</t>
    </r>
    <r>
      <rPr>
        <sz val="9"/>
        <rFont val="Verdana"/>
        <family val="2"/>
      </rPr>
      <t>, &lt; 1200 N/mm2</t>
    </r>
    <phoneticPr fontId="4"/>
  </si>
  <si>
    <r>
      <t>硬化合金鋼</t>
    </r>
    <r>
      <rPr>
        <sz val="9"/>
        <rFont val="Verdana"/>
        <family val="2"/>
      </rPr>
      <t>, &lt; 45 HRC</t>
    </r>
    <phoneticPr fontId="4"/>
  </si>
  <si>
    <t>Jos työkalua jota käytät ei ole listalla voit itse täyttää halkaisian,lastuupituuden ja leikkuiden määrän ruuduissa 5-7.</t>
  </si>
  <si>
    <t>Fonta , Grafit Nodular ; Maleabila ; &lt; 700 N/mm2</t>
  </si>
  <si>
    <t>Fonta , Grafit Nodular ; Maleabila ; &lt; 1000 N/mm2</t>
  </si>
  <si>
    <t xml:space="preserve">Otel Inoxidabil ; Prelucrabil </t>
  </si>
  <si>
    <t>Если вы используете инструмент, которого нет в списке, то вы можете ввести диаметр резака, длину режущего края и количество бороздок в квадраты 5–7.</t>
  </si>
  <si>
    <t>Резьбовые фрезы с одной или двумя зубцами по бороздкам.</t>
  </si>
  <si>
    <r>
      <t>不鏽鋼</t>
    </r>
    <r>
      <rPr>
        <sz val="9"/>
        <rFont val="Verdana"/>
        <family val="2"/>
      </rPr>
      <t>, Ferritic</t>
    </r>
    <r>
      <rPr>
        <sz val="9"/>
        <rFont val="細明體"/>
        <family val="3"/>
        <charset val="136"/>
      </rPr>
      <t>系列，如</t>
    </r>
    <r>
      <rPr>
        <sz val="9"/>
        <rFont val="Verdana"/>
        <family val="2"/>
      </rPr>
      <t>SUS430/SUS434</t>
    </r>
    <phoneticPr fontId="4"/>
  </si>
  <si>
    <r>
      <t>不鏽鋼</t>
    </r>
    <r>
      <rPr>
        <sz val="9"/>
        <rFont val="Verdana"/>
        <family val="2"/>
      </rPr>
      <t>, Martensitic</t>
    </r>
    <r>
      <rPr>
        <sz val="9"/>
        <rFont val="細明體"/>
        <family val="3"/>
        <charset val="136"/>
      </rPr>
      <t>系列，如</t>
    </r>
    <r>
      <rPr>
        <sz val="9"/>
        <rFont val="Verdana"/>
        <family val="2"/>
      </rPr>
      <t>SUS420/SUS440</t>
    </r>
    <phoneticPr fontId="4"/>
  </si>
  <si>
    <r>
      <t>純鈦</t>
    </r>
    <r>
      <rPr>
        <sz val="9"/>
        <rFont val="Verdana"/>
        <family val="2"/>
      </rPr>
      <t>, &lt; 700 N/mm2</t>
    </r>
    <phoneticPr fontId="4"/>
  </si>
  <si>
    <r>
      <t>鈦合金</t>
    </r>
    <r>
      <rPr>
        <sz val="9"/>
        <rFont val="Verdana"/>
        <family val="2"/>
      </rPr>
      <t>, &lt; 900 N/mm2</t>
    </r>
    <phoneticPr fontId="4"/>
  </si>
  <si>
    <t>Valitse rungon halkaisia ruutuun 5, teränpituus ruutuun 6 ja hammasluku ruutuun 7. Jos tarvetta valitsee ohjelma automaattisesti tarvittavat kierrot.</t>
  </si>
  <si>
    <t>takaisin</t>
  </si>
  <si>
    <t>Kartio kierteet</t>
  </si>
  <si>
    <t>Vaihtopalajyrsimet</t>
  </si>
  <si>
    <t>Midja työkalu</t>
  </si>
  <si>
    <t>Työkalu yhdellä tai kahdella hampaalla axiaali</t>
  </si>
  <si>
    <t>Erikoistyökalu</t>
  </si>
  <si>
    <t>Oikea kierteenhalkaisia suoraan</t>
  </si>
  <si>
    <t>Työkalukompensointi</t>
  </si>
  <si>
    <t>Внимание!</t>
  </si>
  <si>
    <t>L= longueur de filetage (mm)</t>
  </si>
  <si>
    <t>S= distance de sécurité (mm)</t>
  </si>
  <si>
    <t>d = diamètre de la fraise</t>
  </si>
  <si>
    <t>l =  longueur de coupe</t>
  </si>
  <si>
    <t>z= nombre de dents</t>
  </si>
  <si>
    <t>In cimpul 5 se noteaza diametrul de taiere, in cimpul 6 lungimea de taiere a partii active, iar in cimpul 7 numarul de placute. Daca este necesar, programul va genera automat intreaga lungime de filetat in citeva etape.</t>
  </si>
  <si>
    <t>T= timp de frezare a filetului ( sec. )</t>
  </si>
  <si>
    <t>Program CNC pentru Fanuc</t>
  </si>
  <si>
    <t>以每刃一或二牙銑牙</t>
    <phoneticPr fontId="4"/>
  </si>
  <si>
    <t>Program CNC pentru Siemens</t>
  </si>
  <si>
    <t>CNC ohjelma Fanukille</t>
  </si>
  <si>
    <t>CNC ohjelma Siemensille</t>
  </si>
  <si>
    <t>CNC ohjelma Nunnille</t>
  </si>
  <si>
    <t>CNC ohjelma Fagorille</t>
  </si>
  <si>
    <t>В данной программе компенсация инструментальной оснастки используется только для небольшой регулировки. Это исключит проблемы, которые могут возникнуть при компенсации радиуса в коротких движениях. Поэтому выбирайте значение близкое к нулю для диаметра резака в библиотеке инструментов системы управления.</t>
  </si>
  <si>
    <t>Выберите язык, в правом нижнем углу сделайте выбор в меню и заполните первые четыре квадрата. При заполнении достаточного количества информации программа представит рекомендуемый ряд фрез. Когда вы выберете одну из фрез, будет показана информация о фрезе, включая рекомендуемые данные резки и время, требуемое для нанесения резьбы. Также будет показана полная программа ЧПУ. Программа ЧПУ может быть скопирована в ваш файл ЧПУ. Остальные шесть квадратов необходимо заполнять только в случае, если вы не согласны с рекомендациями.</t>
  </si>
  <si>
    <t>Tässä ohjelmassa käytetään kompensointia vain pieniin säätöhin. Se eliminoi ongelmat joita voi syntyä kun käyttää sädekompensointia. Anna arvo lähellä nollaa jyrsimen halkaisia työkalukirjastosta ohjausjärjestelmästä.</t>
  </si>
  <si>
    <t>Scule speciale si nelistate</t>
  </si>
  <si>
    <t>BSPT - Filet pentru tevi BSPT</t>
  </si>
  <si>
    <t xml:space="preserve">NPT - Filet pentru tevi NPPT </t>
  </si>
  <si>
    <t>Daca utilizati o scula care nu este pe lista, introduceti  in cimpurile 5-7 diametrul de taiere, lungimea partii active si numarul de dinti.</t>
  </si>
  <si>
    <t>Freze de filetat cu unul sau doi dinti</t>
  </si>
  <si>
    <t xml:space="preserve">NPTF - Dryseal, Filet pentru tevi NPTF </t>
  </si>
  <si>
    <t>Daca alegeti o freza standard tip NM cu unul sau doi dinti, programul va genera automat o spirala de la inceputul pina la sfirsitul prelucrarii .
Daca doriti sa repetati cu o alta scula,  in cimpul 6 introduceti pasul ca fiind lungimea de aschiere.</t>
  </si>
  <si>
    <t>Cutite de filetat cu placute amovibile</t>
  </si>
  <si>
    <t>Filete conice</t>
  </si>
  <si>
    <t>Fonta , Grafit Lamelar ; &lt; 1000 N/mm2</t>
  </si>
  <si>
    <t>Программа автоматически нанесет резьбу в несколько приемов, если у резьбовой фрезы режущая длина короче требуемой длины.</t>
  </si>
  <si>
    <t>Резаки резьбофрезирования с многогранными режущими пластинами</t>
  </si>
  <si>
    <t>Зарегистрируйте диаметр резака в квадрате 5, в квадрате 6 режущую длину пластины и в квадрате 7 количество пластин. При необходимости программа автоматически нанесет полную длину резьбы в несколько приемов.</t>
  </si>
  <si>
    <t>Коническая резьба</t>
  </si>
  <si>
    <t>Jos työkalussa on lyhyempi kierre kun kierteen pituus valitsee ohjelma autommaattisesti tarvittavan määrän axiaali syöttöjä.</t>
  </si>
  <si>
    <t>Geben Sie den Durchmesser des Fräserkörpers im Kästchen Nr. 5 ein, registrieren Sie die Schneidelänge der Wendeschneide im Kästchen Nr. 6 und geben Sie im Kästchen Nr. 7 die Anzahl Schneiden an. Falls erforderlich, wird das Programm das Gewinde in mehreren Durchgängen axial schneiden.</t>
  </si>
  <si>
    <t>Herramientas especiales</t>
  </si>
  <si>
    <t>S = säkerhetsavstånd (mm)</t>
  </si>
  <si>
    <t>Program CNC pentru Num</t>
  </si>
  <si>
    <t>Verktyg med en eller två tänder (axiellt)</t>
  </si>
  <si>
    <t>中文繁體</t>
  </si>
  <si>
    <t>Program CNC pentru Fagor</t>
  </si>
  <si>
    <t>Program CNC pentru Mazak</t>
  </si>
  <si>
    <t>Program CNC pentru Mitsubishi</t>
  </si>
  <si>
    <t>Frezarea Filetului</t>
  </si>
  <si>
    <t>Va rugam, cititi inaintea utilizarii</t>
  </si>
  <si>
    <t>Atentie !</t>
  </si>
  <si>
    <t>Utilizarea programului</t>
  </si>
  <si>
    <t>Wenn das verwendete Werkzeug nicht in der Liste aufgeführt ist, können Sie selbst Fräser-Durchmesser, Schneidelänge des Fräsers und Anzahl Schneiden in den Kästchen 5-7 eintragen.</t>
  </si>
  <si>
    <t>Stainless steel, Ferritic and Austenitic</t>
  </si>
  <si>
    <t>Bild</t>
  </si>
  <si>
    <t>Ant. Pass</t>
  </si>
  <si>
    <t>(Fasning)</t>
  </si>
  <si>
    <t xml:space="preserve"> G40</t>
  </si>
  <si>
    <t>K</t>
  </si>
  <si>
    <t>S</t>
  </si>
  <si>
    <t>G00</t>
  </si>
  <si>
    <t xml:space="preserve"> G91</t>
  </si>
  <si>
    <t xml:space="preserve"> Z</t>
  </si>
  <si>
    <t>G01</t>
  </si>
  <si>
    <t xml:space="preserve"> G41</t>
  </si>
  <si>
    <t xml:space="preserve"> X</t>
  </si>
  <si>
    <t>G03</t>
  </si>
  <si>
    <t xml:space="preserve"> DR+</t>
  </si>
  <si>
    <t xml:space="preserve"> R0</t>
  </si>
  <si>
    <t xml:space="preserve"> M3</t>
  </si>
  <si>
    <t>. J</t>
  </si>
  <si>
    <t>. Y</t>
  </si>
  <si>
    <t>. Z</t>
  </si>
  <si>
    <t>Styrsystem</t>
  </si>
  <si>
    <t>Nickel, legiert, &lt; 1250 N/mm2</t>
  </si>
  <si>
    <t>Number of passes, radial (max 3)</t>
  </si>
  <si>
    <t>Number of passes, axial</t>
  </si>
  <si>
    <t>BSPT - konisk rörgänga</t>
  </si>
  <si>
    <t>NPT - konisk rörgänga</t>
  </si>
  <si>
    <t>NPTF - dryseal, konisk rörgänga</t>
  </si>
  <si>
    <t>CNC ohjema Masakille</t>
  </si>
  <si>
    <t>CNC ohjelma Mitsubisille</t>
  </si>
  <si>
    <t>Kierrejyrsintä</t>
  </si>
  <si>
    <t>Lue ennen käyttöä</t>
  </si>
  <si>
    <t>Kuinka Käyttää ohjelmaa</t>
  </si>
  <si>
    <t>Varoitus!</t>
  </si>
  <si>
    <t xml:space="preserve">NPSF - Filet pentru tevi </t>
  </si>
  <si>
    <t>PG - Filet PG</t>
  </si>
  <si>
    <t xml:space="preserve">Alegeti limba in care doriti sa lucrati din meniul din dreapta, alegeti parametrii doriti si completati primele patru cimpuri. Completind suficient de multe informatii, programul va oferi o gama recomandata de freze. Dupa ce ati ales o anumita freza, veti primi informatii detaliate despre aceasta, inclusiv regimul de lucru recomandat si durata de filetare. Veti primi si programul CNC complet. Programul CNC poate fi copiat si stocat in fisierul CNC al masinii dvs. Veti completa celelalte sase cimpuri numai daca nu acceptati gama recomandata. </t>
  </si>
  <si>
    <t>Compensare pentru prelucrare</t>
  </si>
  <si>
    <t>Otel cu continut ridicat de carbon ; &lt; 0,85% C, &lt; 850 N/mm2</t>
  </si>
  <si>
    <t>Otel slab aliat ; &lt; 850 N/mm2</t>
  </si>
  <si>
    <t>Otel inalt aliat ; &lt; 1200 N/mm2</t>
  </si>
  <si>
    <t>Otel calit ; &lt; 45 HRC</t>
  </si>
  <si>
    <t>Otel calit ; &lt; 55 HRC</t>
  </si>
  <si>
    <t>Otel calit ; &lt; 65 HRC</t>
  </si>
  <si>
    <t>Fonta , Grafit Lamelar ; &lt; 500 N/mm2</t>
  </si>
  <si>
    <t>filete interioare - frezate pe centre de prelucrat</t>
  </si>
  <si>
    <t>filete interioare - frezate pe strung - scula antrenata</t>
  </si>
  <si>
    <t xml:space="preserve">Num </t>
  </si>
  <si>
    <t>UN - filet UN</t>
  </si>
  <si>
    <t>Wenn Sie ein Standardwerkzeug mit einem Zahn bzw. zwei Zähnen wählen (Typ NM), wird das Programm automatisch einen Zyklus erstellen, der eine Spirale herstellt bis das Gewinde komplett fertig ist. Möchten Sie einen ähnlichen Zyklus mit einem anderen Werkzeug machen, geben Sie die Steigung als die Schneidelänge des Fräsers im Kästchen 6 an.</t>
  </si>
  <si>
    <t>Aluminium, legiert, &gt; 10% Si</t>
  </si>
  <si>
    <t>Graphit</t>
  </si>
  <si>
    <t>M - Metrisch</t>
  </si>
  <si>
    <t>NPSF - Rohrgewinde</t>
  </si>
  <si>
    <t>NPSF - Pipe Thread</t>
  </si>
  <si>
    <t>L = Gewindelänge (mm)</t>
  </si>
  <si>
    <t>Deutsch</t>
  </si>
  <si>
    <t>English</t>
  </si>
  <si>
    <t>Aluminium, Alloyed, &gt; 10% Si</t>
  </si>
  <si>
    <t>Inconel 718</t>
  </si>
  <si>
    <t>Nichel , Aliat ; &lt; 1250 N/mm2</t>
  </si>
  <si>
    <t>Cupru , Nealiat ; &lt; 350 N/mm2</t>
  </si>
  <si>
    <t>Stainless steel, Austenitic</t>
  </si>
  <si>
    <t>Aluminiu Aliat ; &lt; 0.5% Si</t>
  </si>
  <si>
    <t>Aluminiu Aliat ; &lt; 10% Si</t>
  </si>
  <si>
    <t>Aluminiu Aliat ; &gt; 10% Si</t>
  </si>
  <si>
    <t>INCONEL 718</t>
  </si>
  <si>
    <t>D = diametrul filetului (mm)</t>
  </si>
  <si>
    <t>Freze de filetat scurte</t>
  </si>
  <si>
    <t>Programul va genera automat filetul in citeva etape, daca freza are lungimea de taiere mai mica decit lungimea ceruta.</t>
  </si>
  <si>
    <t>Otel Inoxidabil ; Feritic si Austenitic</t>
  </si>
  <si>
    <t>Titan , Nealiat ; &lt; 700 N/mm2</t>
  </si>
  <si>
    <t>P = pasul (TPI)</t>
  </si>
  <si>
    <t>L = lungimea filetului (mm)</t>
  </si>
  <si>
    <t>Ruostumaton, automaattiteräs</t>
  </si>
  <si>
    <t>CNC program for Mitsubishi</t>
  </si>
  <si>
    <t>Programnr.</t>
  </si>
  <si>
    <t>Titan , Aliat ; &lt; 900 N/mm2</t>
  </si>
  <si>
    <t>Titan , Aliat ; &lt; 1250 N/mm2</t>
  </si>
  <si>
    <t>Nichel , Nealiat ; &lt; 500 N/mm2</t>
  </si>
  <si>
    <t>Nichel , Aliat ; &lt; 900 N/mm2</t>
  </si>
  <si>
    <t>V = viteza de taiere (m/min)</t>
  </si>
  <si>
    <t>Titanium, Alloyed, &lt; 900 N/mm2</t>
  </si>
  <si>
    <t>G12.1</t>
  </si>
  <si>
    <t>Stainless steel, Free Machining</t>
  </si>
  <si>
    <t>Internal Thread Milling in Lathe with Live Tool</t>
  </si>
  <si>
    <t>Fz = avansul / dinte (mm/dinte)</t>
  </si>
  <si>
    <t>Numarul de treceri radiale</t>
  </si>
  <si>
    <t xml:space="preserve">Numarul de treceri axiale </t>
  </si>
  <si>
    <t>N = turatia (axul principal rpm)</t>
  </si>
  <si>
    <t xml:space="preserve">FD = avans - la diam.filetului (mm/min) </t>
  </si>
  <si>
    <t>Fd = avans la centrul frezei (mm/min)</t>
  </si>
  <si>
    <t>Fyll i fräskroppens skärdiameter på ruta 5, ange vändskärets skärkantlängd på ruta 6 och ange antal skär på ruta 7. Om behov föreligger kommer programmet automatiskt göra gängan i flera pass axiellt.</t>
  </si>
  <si>
    <t>Koniska gängor</t>
  </si>
  <si>
    <t>Acero, templado, &lt; 55 HRC</t>
  </si>
  <si>
    <t>Stål, medel kolhalt, &lt; 0,55% C, &lt; 700 N/mm2</t>
  </si>
  <si>
    <t>Mitsubishi</t>
  </si>
  <si>
    <t>UN - Unified</t>
  </si>
  <si>
    <t>V</t>
  </si>
  <si>
    <t>F1</t>
  </si>
  <si>
    <t>Pass, radiellt</t>
  </si>
  <si>
    <t>l / L</t>
  </si>
  <si>
    <t>F2a</t>
  </si>
  <si>
    <t>F1*F2*F3</t>
  </si>
  <si>
    <t>Fz</t>
  </si>
  <si>
    <t>B / d</t>
  </si>
  <si>
    <t>PG - Pansarrörsgänga</t>
  </si>
  <si>
    <t>Steel, Hardened, &lt; 65 HRC</t>
  </si>
  <si>
    <t>D = gängans diameter (mm)</t>
  </si>
  <si>
    <t>Otel cu continut mic de carbon ; &lt; 0,25% C, &lt; 400 N/mm2</t>
  </si>
  <si>
    <t>Otel cu continut mediu de carbon ; &lt; 0,55% C, &lt; 700 N/mm2</t>
  </si>
  <si>
    <t>Eesti</t>
  </si>
  <si>
    <t>Dansk</t>
  </si>
  <si>
    <t>Suomi</t>
  </si>
  <si>
    <t>Fräsens skärdiameter som anges är vid gängan närmast skaftet. Därför måste gängans diameter som anges vara där denna del av verktyget går i ingrepp.</t>
  </si>
  <si>
    <t>Warnung!</t>
  </si>
  <si>
    <t>The cutter diameter is over the last full thread closest to the shaft. It is therefore necessary to register the thread diameter where this part of the milling cutter is working.</t>
  </si>
  <si>
    <t>Wenn das Werkzeug eine kürzere Schneidelänge als Gewindelänge hat, wird das Programm das Gewinde automatisch die erforderliche Anzahl axiale Durchgänge schneiden.</t>
  </si>
  <si>
    <t>Si eliges una herramienta standard con uno o dos dientes, tipo NM, el programa va a crear automáticamente un ciclo que hace una espiral hasta que la rosca esté terminada. Si quieres hacer un ciclo parecido con otra herramienta, pon el paso como la longitud del corte en cuadro 6.</t>
  </si>
  <si>
    <t>z = Anzahl Schneiden</t>
  </si>
  <si>
    <t>z = number of flutes</t>
  </si>
  <si>
    <t>Nederlands</t>
  </si>
  <si>
    <t>Português</t>
  </si>
  <si>
    <t>Français</t>
  </si>
  <si>
    <t>Italiano</t>
  </si>
  <si>
    <t>Norsk</t>
  </si>
  <si>
    <t>Polski</t>
  </si>
  <si>
    <t>Warning!</t>
  </si>
  <si>
    <t>P = stigning (mm)</t>
  </si>
  <si>
    <t>Nickel, unlegiert, &lt; 500 N/mm2</t>
  </si>
  <si>
    <t>In acest program, compensarea pentru prelucrare se utilizeaza doar pentru mici reglaje. Aceasta elimina problemele care pot sa apara la utilizarea compensarii de raza la deplasari mici. Din baza de date a sistemului de comanda, alegeti o valoare apropiata de zero pentru diametrul de taiere.</t>
  </si>
  <si>
    <t>Corectarea imediata a diametrului de filetare</t>
  </si>
  <si>
    <t>Ant. hela tänd.</t>
  </si>
  <si>
    <t>10021, 2 pass, konisk, Fanuc</t>
  </si>
  <si>
    <t>V = Schnittgeschwindigkeit (m/min)</t>
  </si>
  <si>
    <t>M - Metrisk</t>
  </si>
  <si>
    <t>Русский</t>
  </si>
  <si>
    <t>G13.1</t>
  </si>
  <si>
    <t>CNC program for Siemens</t>
  </si>
  <si>
    <t>l = longitud del corte (mm)</t>
  </si>
  <si>
    <t>M, UN, G, BSPT, PG</t>
  </si>
  <si>
    <t>NPT, NPTF, NPSF</t>
  </si>
  <si>
    <t>Antal tänder</t>
  </si>
  <si>
    <t>FD = avance en Ø de la rosca (mm/min)</t>
  </si>
  <si>
    <t>Acero, carbono alto, &lt; 0,85% C, &lt; 850 N/mm2</t>
  </si>
  <si>
    <t>Acero, aleado bajo, &lt; 850 N/mm2</t>
  </si>
  <si>
    <t>Nummer</t>
  </si>
  <si>
    <t>P = pasul (mm)</t>
  </si>
  <si>
    <t>Cupru, Alama, Bronz ; &lt; 700 N/mm2</t>
  </si>
  <si>
    <t>Cupru, Bronz Dur ; &lt; 1500 N/mm2</t>
  </si>
  <si>
    <t xml:space="preserve">Aluminiu Nealiat </t>
  </si>
  <si>
    <t>Otel Inoxidabil ; Austenitic</t>
  </si>
  <si>
    <t>The program will automatically make a spiral from start until the thread is finished when you choose a standard cutter type NM with one or two teeth. If you want to do the same with a another tool, then you have to register the pitch as length of cutting edge in square 6.</t>
  </si>
  <si>
    <t>D = Gewinde-Durchmesser (mm)</t>
  </si>
  <si>
    <t>z = número de labios</t>
  </si>
  <si>
    <t>Nickel, olegerat, &lt; 500 N/mm2</t>
  </si>
  <si>
    <t>Steel, Low Carbon, &lt; 0,25% C, &lt; 400 N/mm2</t>
  </si>
  <si>
    <t>Cast iron, Nodular Grap., Malleable, &lt; 1000 N/mm2</t>
  </si>
  <si>
    <t>31, 3 pass Fanuc</t>
  </si>
  <si>
    <t>Nickel, Alloyed, &lt; 1250 N/mm2</t>
  </si>
  <si>
    <t>Copper, Unalloyed, &lt; 350 N/mm2</t>
  </si>
  <si>
    <t>Titanium, Alloyed, &lt; 1250 N/mm2</t>
  </si>
  <si>
    <t>Gjutjärn, segjärn, aducergods, &lt; 1000 N/mm2</t>
  </si>
  <si>
    <t>Rostfria automatstål</t>
  </si>
  <si>
    <t>Rostfria stål, austenitiska</t>
  </si>
  <si>
    <t>Rostfria stål, ferritaustenitiska</t>
  </si>
  <si>
    <t>1011, 1 pass, microfräsar, Fanuc</t>
  </si>
  <si>
    <t>Copper, Brass, Bronze, &lt; 700 N/mm2</t>
  </si>
  <si>
    <t>Specialverktyg</t>
  </si>
  <si>
    <t>Siemens</t>
  </si>
  <si>
    <t>Num</t>
  </si>
  <si>
    <t>Fagor</t>
  </si>
  <si>
    <t>Mazak</t>
  </si>
  <si>
    <t>Titanium, Unalloyed, &lt; 700 N/mm2</t>
  </si>
  <si>
    <t>CNC program for Mazak</t>
  </si>
  <si>
    <t>Titanio, aleado, &lt; 900 N/mm2</t>
  </si>
  <si>
    <t>Titanio, aleado, &lt; 1250 N/mm2</t>
  </si>
  <si>
    <t>Níquel, aleado, &lt; 1250 N/mm2</t>
  </si>
  <si>
    <t>Koppar, brons, hög brottstyrka, &lt; 1500 N/mm2</t>
  </si>
  <si>
    <t>Koppar, mässing, brons, &lt; 700 N/mm2</t>
  </si>
  <si>
    <t>Compensación de la herramienta</t>
  </si>
  <si>
    <t>Acero, templado, &lt; 65 HRC</t>
  </si>
  <si>
    <t>Verktygskompensering</t>
  </si>
  <si>
    <t>L = gängans längd (mm)</t>
  </si>
  <si>
    <t>Stål, låg kolhalt, &lt; 0,25% C, &lt; 400 N/mm2</t>
  </si>
  <si>
    <t>Koppar, olegerat, &lt; 350 N/mm2</t>
  </si>
  <si>
    <t>#1=</t>
  </si>
  <si>
    <t>#2=0</t>
  </si>
  <si>
    <t>S = distanta de siguranta (mm)</t>
  </si>
  <si>
    <t>d = diametrul sculei (mm)</t>
  </si>
  <si>
    <t>l = lungimea muchiei taietoare (mm)</t>
  </si>
  <si>
    <t>z = numarul de canale</t>
  </si>
  <si>
    <t>NPTF - dryseal, konische Rohrgewinde</t>
  </si>
  <si>
    <t>BSPT - konische Rohrgewinde</t>
  </si>
  <si>
    <t>BSPT - rosca de tubo cónica</t>
  </si>
  <si>
    <t>NPT - rosca de tubo cónica</t>
  </si>
  <si>
    <t>BSPT - Tapered Pipe Thread</t>
  </si>
  <si>
    <t>NPT - Tapered Pipe Thread</t>
  </si>
  <si>
    <t>NPTF - Dryseal, Tapered Pipe Thread</t>
  </si>
  <si>
    <t>Rätt gängdiameter direkt</t>
  </si>
  <si>
    <t>Inoxidable, ferrítico y austenítico</t>
  </si>
  <si>
    <t>Titanio, no aleado, &lt; 700 N/mm2</t>
  </si>
  <si>
    <t>Internal Thread Milling in Machining Center</t>
  </si>
  <si>
    <t>programa CNC para Mitsubishi</t>
  </si>
  <si>
    <t>Níquel, no aleado, &lt; 500 N/mm2</t>
  </si>
  <si>
    <t>Níquel, aleado, &lt; 900 N/mm2</t>
  </si>
  <si>
    <t>FD = Vorschub am Gewinde Ø (mm/min)</t>
  </si>
  <si>
    <t>d = fräsens skärdiameter (mm)</t>
  </si>
  <si>
    <t>programa CNC para Fanuc</t>
  </si>
  <si>
    <t>Fz = Vorschub/Schneide (mm/Schneide)</t>
  </si>
  <si>
    <t>P = stigning (TPI)</t>
  </si>
  <si>
    <t>S = distancia de seguridad (mm)</t>
  </si>
  <si>
    <t>Herramientas con plaquitas</t>
  </si>
  <si>
    <t>V = cutting speed (m/min)</t>
  </si>
  <si>
    <t>Steel, High Carbon, &lt; 0,85% C, &lt; 850 N/mm2</t>
  </si>
  <si>
    <t>F3</t>
  </si>
  <si>
    <t>Kupfer, unlegiert, &lt; 350 N/mm2</t>
  </si>
  <si>
    <t>Thread Milling</t>
  </si>
  <si>
    <t>FD = matning vid gängans Ø(mm/min)</t>
  </si>
  <si>
    <t>T, microfräsar</t>
  </si>
  <si>
    <t>Verktyg med midja</t>
  </si>
  <si>
    <t>Stigning</t>
  </si>
  <si>
    <t>Aluminium, Alloyed, &lt; 0.5% Si</t>
  </si>
  <si>
    <t>Aluminium, Alloyed, &lt; 10% Si</t>
  </si>
  <si>
    <t>Leer antes de usar</t>
  </si>
  <si>
    <t>Läs innan användning</t>
  </si>
  <si>
    <t>10011, 1 pass, konisk, Fanuc</t>
  </si>
  <si>
    <t>Inoxidable, fácil de mecanizar</t>
  </si>
  <si>
    <t>Inoxidable, austenítico</t>
  </si>
  <si>
    <t>programa CNC para Mazak</t>
  </si>
  <si>
    <t>tillbaka</t>
  </si>
  <si>
    <t>Cast iron, Lamellar Graphite, &lt; 500 N/mm2</t>
  </si>
  <si>
    <t>T = segundos para fresar la rosca</t>
  </si>
  <si>
    <t>programa CNC para Siemens</t>
  </si>
  <si>
    <t>Gjutjärn, gråjärn, &lt; 1000 N/mm2</t>
  </si>
  <si>
    <t>Gjutjärn, segjärn, aducergods, &lt; 700 N/mm2</t>
  </si>
  <si>
    <t>Kupfer, Messing, Bronze, &lt; 700 N/mm2</t>
  </si>
  <si>
    <t>Con este programa la compensación de la herramienta sólo se usa para ajustes menores. Con esto vas a eliminar problemas que pueden ocurrir cuando uno está usando la compensación en movimientos cortos. Por eso, pon un valor cerca de cero para el diámetro de la fresa en la biblioteca del control numérico.</t>
  </si>
  <si>
    <t>Diámetro correcto de la rosca sin prueba</t>
  </si>
  <si>
    <t>111, 1 pass, flera pass axiellt, Fanuc</t>
  </si>
  <si>
    <t>T (sekunder)</t>
  </si>
  <si>
    <t>NPSF - rörgänga</t>
  </si>
  <si>
    <t>copyright ©</t>
  </si>
  <si>
    <t>Roscas cónicas</t>
  </si>
  <si>
    <t>Stål, låglegerat, &lt; 850 N/mm2</t>
  </si>
  <si>
    <t>Stål, härdat, &lt; 45 HRC</t>
  </si>
  <si>
    <t>Stål, härdat, &lt; 55 HRC</t>
  </si>
  <si>
    <t>Stål, härdat, &lt; 65 HRC</t>
  </si>
  <si>
    <t>¡Atención!</t>
  </si>
  <si>
    <t>Gänglängd</t>
  </si>
  <si>
    <t>Gängprofil</t>
  </si>
  <si>
    <t>1 pass rad.</t>
  </si>
  <si>
    <t>Antal pass</t>
  </si>
  <si>
    <t>Om verktyget du använder inte finns på listan kan du själv fylla i fräsens skärdiameter, skärkantlängd och antal skär på ruta 5-7.</t>
  </si>
  <si>
    <t>Acero, carbono medio, &lt; 0,55% C, &lt; 700 N/mm2</t>
  </si>
  <si>
    <t>CNC program för Fagor</t>
  </si>
  <si>
    <t>CNC program för Mazak</t>
  </si>
  <si>
    <t>Fräs</t>
  </si>
  <si>
    <t>Fd = avance centro fresa (mm/min)</t>
  </si>
  <si>
    <t>z = antal skäreggar</t>
  </si>
  <si>
    <t>Thread Milling Cutters with Indexable Inserts</t>
  </si>
  <si>
    <t>N = Spindeldrehzahl (1/min)</t>
  </si>
  <si>
    <t>Graphite</t>
  </si>
  <si>
    <t>T, fräsar</t>
  </si>
  <si>
    <t>T, tid</t>
  </si>
  <si>
    <t>Nickel, legerat, &lt; 900 N/mm2</t>
  </si>
  <si>
    <t>Om du väljer ett standardverktyg med en eller två tänder, typ NM, kommer programmet automatiskt att skapa en cykel som gör en spiral tills gängan är färdig. Om du vill skapa en liknande cykel med ett annat verktyg anger du stigningen som fräsens skärkantlängd på ruta 6.</t>
  </si>
  <si>
    <t>Copper, High Strength Bronze, &lt; 1500 N/mm2</t>
  </si>
  <si>
    <t>Aluminium, Unalloyed</t>
  </si>
  <si>
    <t>Titan, legerat, &lt; 1250 N/mm2</t>
  </si>
  <si>
    <t>Gußeisen mit Lamellengraphit, &lt; 500 N/mm2</t>
  </si>
  <si>
    <t>Nickel, legiert, &lt; 900 N/mm2</t>
  </si>
  <si>
    <t>NPSF - rosca de tubo</t>
  </si>
  <si>
    <t>Acero, carbono bajo, &lt; 0,25% C, &lt; 400 N/mm2</t>
  </si>
  <si>
    <t>Description</t>
  </si>
  <si>
    <t>d</t>
  </si>
  <si>
    <t>D</t>
  </si>
  <si>
    <t>Z</t>
  </si>
  <si>
    <t>Svenska</t>
  </si>
  <si>
    <t>CNC program for Num</t>
  </si>
  <si>
    <t>CNC program for Fagor</t>
  </si>
  <si>
    <t>2 pass rad.</t>
  </si>
  <si>
    <t>3 pass rad.</t>
  </si>
  <si>
    <t>Aluminium, legiert, &lt; 10% Si</t>
  </si>
  <si>
    <t>CNC program för Fanuc</t>
  </si>
  <si>
    <t>CNC program för Siemens</t>
  </si>
  <si>
    <t>CNC program för Num</t>
  </si>
  <si>
    <t>rostfreier Stahl, austenitisch</t>
  </si>
  <si>
    <t>END1</t>
  </si>
  <si>
    <t>Titan, olegerat, &lt; 700 N/mm2</t>
  </si>
  <si>
    <t>Titan, legerat, &lt; 900 N/mm2</t>
  </si>
  <si>
    <t>d = diámetro del corte (mm)</t>
  </si>
  <si>
    <t>NPT - konische Rohrgewinde</t>
  </si>
  <si>
    <t>Cast iron, Lamellar Graphite, &lt; 1000 N/mm2</t>
  </si>
  <si>
    <t>Der angegebene Fräser-Durchmesser ist am Zahn neben dem Schaft. Daher muß der angegebene Gewinde-Durchmesser dort sein, wo dieses Teil des Werkzeugs eingreift.</t>
  </si>
  <si>
    <t>Ende</t>
  </si>
  <si>
    <t>Vändskärsgängfräsar</t>
  </si>
  <si>
    <t xml:space="preserve"> FMAX</t>
  </si>
  <si>
    <t xml:space="preserve"> IY</t>
  </si>
  <si>
    <t>How to use the Program</t>
  </si>
  <si>
    <t>volver</t>
  </si>
  <si>
    <t>back</t>
  </si>
  <si>
    <t>L = longitud de la rosca (mm)</t>
  </si>
  <si>
    <t>Varning!</t>
  </si>
  <si>
    <t>Invändig gängfräsning i svarv med drivna verktyg</t>
  </si>
  <si>
    <t>WHILE[#2LT#1]DO1</t>
  </si>
  <si>
    <t>#2=#2+1</t>
  </si>
  <si>
    <t>Stål, hög kolhalt, &lt; 0,85% C, &lt; 850 N/mm2</t>
  </si>
  <si>
    <t>antal pass, radiellt (max 3)</t>
  </si>
  <si>
    <t>Typ</t>
  </si>
  <si>
    <t>Invändig gängfräsning i fräsmaskin</t>
  </si>
  <si>
    <t>F2b</t>
  </si>
  <si>
    <t>END3</t>
  </si>
  <si>
    <t>Med detta program används verktygskompenseringen endast för mindre justeringar. Detta kommer eliminera problem som kan uppstå när man använder radiekompensering på korta förflyttningar. Ange därför ett värde nära noll för fräsens diameter i verktygsbiblioteket på styrsystemet.</t>
  </si>
  <si>
    <t>Número de pasadas, radial (max 3)</t>
  </si>
  <si>
    <t>Número de pasadas, axial</t>
  </si>
  <si>
    <t>Fanuc</t>
  </si>
  <si>
    <t>l = fräsens skärkantlängd (mm)</t>
  </si>
  <si>
    <t>V = velocidad de corte (m/min)</t>
  </si>
  <si>
    <t>V = skärhastighet (m/min)</t>
  </si>
  <si>
    <t>Fz = matning/tand (mm/tand)</t>
  </si>
  <si>
    <t>antal pass, axiellt</t>
  </si>
  <si>
    <t>N = varvtal (varv/min)</t>
  </si>
  <si>
    <t>programa CNC para Fagor</t>
  </si>
  <si>
    <t>Konisk</t>
  </si>
  <si>
    <t>Svarvning</t>
  </si>
  <si>
    <t>Hierro fundido, lámina de grafito, &lt; 500 N/mm2</t>
  </si>
  <si>
    <t>Hierro fundido, lámina de grafito, &lt; 1000 N/mm2</t>
  </si>
  <si>
    <t>Cobre, no aleado, &lt; 350 N/mm2</t>
  </si>
  <si>
    <t>NPTF - dryseal, rosca de tubo cónica</t>
  </si>
  <si>
    <t>10031, 3 pass, konisk, Fanuc</t>
  </si>
  <si>
    <t>P</t>
  </si>
  <si>
    <t>l</t>
  </si>
  <si>
    <t>L</t>
  </si>
  <si>
    <t>EUR</t>
  </si>
  <si>
    <t>d = cutter diameter (mm)</t>
  </si>
  <si>
    <t>d = Fräser-Durchmesser (mm)</t>
  </si>
  <si>
    <t>Stål, höglegerat, &lt; 1200 N/mm2</t>
  </si>
  <si>
    <t>In this program, compensation of tooling is only used for smaller adjustments. This will eliminate problems which can occur when one uses compensation of radius in short movements. Chose therefore a value close to zero for cutter diameter in tooling library of the control system.</t>
  </si>
  <si>
    <t>Gewindefräsen innen in der Drehmaschine mit angetriebenen Werkzeugen</t>
  </si>
  <si>
    <t>Gewindefräsen innen in der Drehmaschine</t>
  </si>
  <si>
    <t>Gewindefräsen innen in der Fräsmachine</t>
  </si>
  <si>
    <t>Kupfer, hochfeste Bronze, &lt; 1500 N/mm2</t>
  </si>
  <si>
    <t>Aluminium, unlegiert</t>
  </si>
  <si>
    <t>Aluminium, legiert, &lt; 0.5% Si</t>
  </si>
  <si>
    <t>Gußeisen mit Lamellengraphit, &lt; 1000 N/mm2</t>
  </si>
  <si>
    <t>Gußeisen mit Kugelgraphit, &lt; 700 N/mm2</t>
  </si>
  <si>
    <t>Stahl, Kohlenstoffgehalt 0,25-0,55%, 700 N/mm2</t>
  </si>
  <si>
    <t>Aluminio, aleado, &gt; 10% Si</t>
  </si>
  <si>
    <t>P = Steigung (mm)</t>
  </si>
  <si>
    <t>F2</t>
  </si>
  <si>
    <t>B</t>
  </si>
  <si>
    <t>Fd</t>
  </si>
  <si>
    <t>T</t>
  </si>
  <si>
    <t>Gängfräsning</t>
  </si>
  <si>
    <t>Compensation of Tooling</t>
  </si>
  <si>
    <t>Fd = matning i fräsens centrum (mm/min)</t>
  </si>
  <si>
    <t>Roscado interior en un torno</t>
  </si>
  <si>
    <t>Si la herramienta que estás usando no está en la lista puedes rellenar el diámetro del corte, la longitud del corte y número de labios en los cuadros 5, 6 y 7.</t>
  </si>
  <si>
    <t>Roscado interior en una fresadora</t>
  </si>
  <si>
    <t>Werkzeuge mit einem Zahn / zwei Zähnen (axial)</t>
  </si>
  <si>
    <t>Werkzeug mit Taille</t>
  </si>
  <si>
    <t>Bitte unbedingt vor Gebrauch lesen!</t>
  </si>
  <si>
    <t>CNC program för Mitsubishi</t>
  </si>
  <si>
    <t>Correct Thread Diameter right away</t>
  </si>
  <si>
    <t>Stahl, hochlegiert, &lt; 1200 N/mm2</t>
  </si>
  <si>
    <t>Stahl, gerhärtet, &lt; 45 HRC</t>
  </si>
  <si>
    <t>Stahl, gerhärtet, &lt; 55 HRC</t>
  </si>
  <si>
    <t>Stahl, niedriglegiert, &lt; 850 N/mm2</t>
  </si>
  <si>
    <t>Steel, Medium Carbon, &lt; 0,55% C, &lt; 700 N/mm2</t>
  </si>
  <si>
    <t>Cast iron, Nodular Grap., Malleable, &lt; 700 N/mm2</t>
  </si>
  <si>
    <t>CNC Programm für Fagor</t>
  </si>
  <si>
    <t>Español</t>
  </si>
  <si>
    <t>N = spindle speed (rpm)</t>
  </si>
  <si>
    <t>B/d</t>
  </si>
  <si>
    <t>CNC Programm für Num</t>
  </si>
  <si>
    <t>Cobre, latón, bronze, &lt; 700 N/mm2</t>
  </si>
  <si>
    <t>programa CNC para Num</t>
  </si>
  <si>
    <t>Gänga</t>
  </si>
  <si>
    <t>Pass, raidellt</t>
  </si>
  <si>
    <t>Microfräs</t>
  </si>
  <si>
    <t>Steel, Low Alloy, &lt; 850 N/mm2</t>
  </si>
  <si>
    <t>l = length of cutting edge (mm)</t>
  </si>
  <si>
    <t>Wendeschneid-Gewindefräser</t>
  </si>
  <si>
    <t>D = thread diameter (mm)</t>
  </si>
  <si>
    <t>Steel, Hardened, &lt; 45 HRC</t>
  </si>
  <si>
    <t>Steel, Hardened, &lt; 55 HRC</t>
  </si>
  <si>
    <t>Aluminio, no aleado</t>
  </si>
  <si>
    <t>Aluminio, aleado, &lt; 0.5% Si</t>
  </si>
  <si>
    <t>Aluminio, aleado, &lt; 10% Si</t>
  </si>
  <si>
    <t>FD = feed at thread diameter (mm/min)</t>
  </si>
  <si>
    <t>T = tid att fräsa gängan (sekunder)</t>
  </si>
  <si>
    <t>Titan, unlegiert, &lt; 700 N/mm2</t>
  </si>
  <si>
    <t>Titan, legiert, &lt; 900 N/mm2</t>
  </si>
  <si>
    <t>Gußeisen mit Kugelgraphit, &lt; 1000 N/mm2</t>
  </si>
  <si>
    <t>rostfreier Stahl, gut bearbeitbar</t>
  </si>
  <si>
    <t>21, 2 pass Fanuc</t>
  </si>
  <si>
    <t>Steel, High Alloy, &lt; 1200 N/mm2</t>
  </si>
  <si>
    <t>Herramientas con uno o dos dientes (axial)</t>
  </si>
  <si>
    <t>Værktøj med en eller 2 tænder (axialt)</t>
  </si>
  <si>
    <t>Om verktyget har kortare skärkantlängd än gänglängd kommer programmet automatiskt att göra gängan i behövligt antal axiella pass.</t>
  </si>
  <si>
    <t>D = diámetro de la rosca (mm)</t>
  </si>
  <si>
    <t>P = paso (mm)</t>
  </si>
  <si>
    <t>P = paso (TPI)</t>
  </si>
  <si>
    <t>Gäng D</t>
  </si>
  <si>
    <t>Allt</t>
  </si>
  <si>
    <t>Rullist</t>
  </si>
  <si>
    <t>F1 x F2</t>
  </si>
  <si>
    <t>Pass, axiellt</t>
  </si>
  <si>
    <t>P = pitch (mm)</t>
  </si>
  <si>
    <t>P = pitch (TPI)</t>
  </si>
  <si>
    <t>Elige idioma abajo en el lado derecho y después puedes elegir tus opciones en las pestañas y en los cuatro primeros cuadros. Con esta información el programa te va a ofrecer diferentes herramientas convenientes en la última pestaña. Cuando has eligido una herramienta, puedes ver la información de la herramienta, condiciones de corte y el tiempo que tarda en hacer la rosca. Además se enseña el programa CNC. Se puede copiar y pegar en otro archivo. Los últimos seis cuadros sólo se rellenan en caso de no aceptar lo recomdendado.</t>
  </si>
  <si>
    <t>1021, 2 pass, microfräsar, Fanuc</t>
  </si>
  <si>
    <t>WHILE[#2LT#1]DO2</t>
  </si>
  <si>
    <t>END2</t>
  </si>
  <si>
    <t>WHILE[#2LT#1]DO3</t>
  </si>
  <si>
    <t>Nickel, Unalloyed, &lt; 500 N/mm2</t>
  </si>
  <si>
    <t>Gjutjärn, gråjärn, &lt; 500 N/mm2</t>
  </si>
  <si>
    <t>Hur man använder programmet</t>
  </si>
  <si>
    <t>Fd = feed in center of mill (mm/min)</t>
  </si>
  <si>
    <t>T = time to mill the thread (seconds)</t>
  </si>
  <si>
    <t>Fz = feed/tooth (mm/tooth)</t>
  </si>
  <si>
    <t>rostfreier Stahl, ferritisch und austenitisch</t>
  </si>
  <si>
    <t>Axiell förfl.</t>
  </si>
  <si>
    <t>P = Steigung (TPI)</t>
  </si>
  <si>
    <t>CNC Programm für Fanuc</t>
  </si>
  <si>
    <t>CNC Programm für Siemens</t>
  </si>
  <si>
    <t>Register the cutter diameter in square 5, in square 6 the cutting length of the insert and in square 7 the number of inserts. If needed, the program will automatically produce the full length of thread in several passes.</t>
  </si>
  <si>
    <t>Tapered Threads</t>
  </si>
  <si>
    <t>Aluminium, legerat, &lt; 10% Si</t>
  </si>
  <si>
    <t>Aluminium, legerat, &gt; 10% Si</t>
  </si>
  <si>
    <t>Grafit</t>
  </si>
  <si>
    <t>M - Metrico</t>
  </si>
  <si>
    <t>Nickel, legerat, &lt; 1250 N/mm2</t>
  </si>
  <si>
    <t>Fz = avance/labio (mm/labio)</t>
  </si>
  <si>
    <t>N = velocidad de giro (v/min)</t>
  </si>
  <si>
    <t>Hierro fundido, graf. esfer., maleable, &lt;700 N/mm2</t>
  </si>
  <si>
    <t>Hierro fundido, graf. esfer., maleable, &lt;1000 N/mm2</t>
  </si>
  <si>
    <t>Werkzeug-Kompensation</t>
  </si>
  <si>
    <t>The program will automatically produce the thread in several steps if a thread mill has shorter cutting length than the requested length.</t>
  </si>
  <si>
    <t>¿Cómo se usa este programa?</t>
  </si>
  <si>
    <t>Konische Gewinde</t>
  </si>
  <si>
    <t>S = Sicherheitsabstand (mm)</t>
  </si>
  <si>
    <t>l = Schneidelänge des Fräsers (mm)</t>
  </si>
  <si>
    <t>Udfyld fræserkroppens skærediameter i rubrik 5, angiv vendeskærets skærekantslængde i rubrik 6 og angiv antal skær i rubrik 7. Ved behov vil programmet automatisk udføre gevindet i flere overløb axialt.</t>
  </si>
  <si>
    <t>Konisk gevind</t>
  </si>
  <si>
    <t>Wählen Sie zuerst Sprache auf der rechten Seite ganz unten und danach die gewünschten Alternativen in den Pulldown-Menüs und füllen Sie die vier ersten Kästchen ein. Mit Hilfe dieser Information zeigt das Programm im letzten Pulldown-Menü Vorschläge von geeigneten Werkzeugen. Nachdem Sie ein Werkzeug gewählt haben, erhalten Sie vom Programm Information über das Werkzeug, empfohlene Schnittdaten und die erforderliche Zeit, um das Gewinde zu schneiden. Außerdem wird das CNC-Programm gezeigt. Dies kann herauskopiert und in Ihre CNC-Datei eingefügt werden. Die übrigen sechs Kästchen werden nur eingefüllt, falls Sie die Vorschläge nicht akzeptieren.</t>
  </si>
  <si>
    <t>Cobre, bronze de alta resistencia, &lt; 1500 N/mm2</t>
  </si>
  <si>
    <t>Mit diesem Programm wird die Werkzeug-Kompensation nur für kleinere Verstellungen verwendet. Dies beseitigt Probleme, die entstehen können wenn man Radiuskorrekturen bei kurzen Verfahrwegen verwendet. Geben Sie daher einen Wert nahe an 0 für den Fräser-Durchmesser in der Werkzeug-Bibliothek am Steuersystem an.</t>
  </si>
  <si>
    <t>Korrekter Gewinde-Durchmesser direkt</t>
  </si>
  <si>
    <t>Spezialwerkzeuge</t>
  </si>
  <si>
    <t>Stahl, Kohlenstoffgehalt 0,55-0,85%, &lt; 850 N/mm2</t>
  </si>
  <si>
    <t>L / d</t>
  </si>
  <si>
    <t>L/d</t>
  </si>
  <si>
    <t>Verklig L</t>
  </si>
  <si>
    <t xml:space="preserve">If you are using a tool which is not in the list then you can enter cutter diameter, length of cutting edge and number of flutes in square 5-7. </t>
  </si>
  <si>
    <t>Acero, aleado alto, &lt; 1200 N/mm2</t>
  </si>
  <si>
    <t>Acero, templado, &lt; 45 HRC</t>
  </si>
  <si>
    <t>Microfräsar</t>
  </si>
  <si>
    <t>El diámetro del corte será el diente que está más cerca del mango. Por eso,  el diámetro de la rosca debe estar al mismo nivel del diente empleado para el diámetro del corte.</t>
  </si>
  <si>
    <t>Wie man dieses Programm verwendet</t>
  </si>
  <si>
    <t>Nickel, Alloyed, &lt; 900 N/mm2</t>
  </si>
  <si>
    <t>CNC program for Fanuc</t>
  </si>
  <si>
    <t>M-Metrisk</t>
  </si>
  <si>
    <t>BSPT - konisk rørgevind</t>
  </si>
  <si>
    <t>NPT - Konisk rørgevind</t>
  </si>
  <si>
    <t>NPTF - dryseal - konisk rørgevind</t>
  </si>
  <si>
    <t>NPSF - rørgevind</t>
  </si>
  <si>
    <t>PG - Panserrørgevind</t>
  </si>
  <si>
    <t>Stål, m/lav kulindhold, &lt; 0,25% C, &lt; 400 N/mm2</t>
  </si>
  <si>
    <t>CNC Programm für Mazak</t>
  </si>
  <si>
    <t>CNC Programm für Mitsubishi</t>
  </si>
  <si>
    <t>Fresado de roscas</t>
  </si>
  <si>
    <t>11, 1 pass Fanuc</t>
  </si>
  <si>
    <t>Si la herramienta tiene una longitud de corte más corta que la longitud de la rosca, el programa automáticamente va a hacer la rosca en suficientes pasadas axiales.</t>
  </si>
  <si>
    <t>Pon el diámetro del corte del cuerpo en cuadro 5, pon la longitud del corte de la plaquita en cuadro 6 y pon número de labios en cuadro 7. Si es necesario el programa va a hacer automáticamente la rosca en varias pasadas axiales.</t>
  </si>
  <si>
    <t>PG - Panzerrohrgewinde</t>
  </si>
  <si>
    <t>Titanium, legeret, &lt; 900 N/mm2</t>
  </si>
  <si>
    <t>Titanium, legeret, &lt; 1250 N/mm2</t>
  </si>
  <si>
    <t>Nikkel, ulegeret, &lt; 700 N/mm2</t>
  </si>
  <si>
    <t>Nikkel, legeret, &lt; 900 N/mm2</t>
  </si>
  <si>
    <t>N = omdrejninger, spindel (omdr./min.)</t>
  </si>
  <si>
    <t>FD = tilspænding, gevind diameter</t>
  </si>
  <si>
    <t>Fd = tilspænding, v/center af fræser</t>
  </si>
  <si>
    <t>T = Indgrebstid (sekunder)</t>
  </si>
  <si>
    <t>CNC program til Fanuc</t>
  </si>
  <si>
    <t>CNC program til Siemens</t>
  </si>
  <si>
    <t>CNC program til Num</t>
  </si>
  <si>
    <t>CNC program til Fagor</t>
  </si>
  <si>
    <t>CNC program til Mazak</t>
  </si>
  <si>
    <t>CNC program til Mitsubishi</t>
  </si>
  <si>
    <t>Gevindfræsning</t>
  </si>
  <si>
    <t>Læs før anvendelse!</t>
  </si>
  <si>
    <t>Advarsel</t>
  </si>
  <si>
    <t>Anzahl Durchgänge, radial (max. 3)</t>
  </si>
  <si>
    <t>Herramientas con cinturón</t>
  </si>
  <si>
    <t>.</t>
  </si>
  <si>
    <t>Hvordan anvendes programmet</t>
  </si>
  <si>
    <t>M - Metric</t>
  </si>
  <si>
    <t>Anzahl Durchgänge, axial</t>
  </si>
  <si>
    <t>Specialværktøj</t>
  </si>
  <si>
    <t>Choose a language furthest down on the right side and make your choices in the drop downs and fill in the first four squares. By filling in sufficient information the program will present a recommended range of milling cutters. When you have chosen one of the cutters, information will be shown about the cutter including recommended cutting data and the time to produce the thread. The complete CNC program will also be shown. The CNC program can be copied and pasted into your CNC file. The other six squares shall only be completed if you do not accept the recommended.</t>
  </si>
  <si>
    <t>Please read before use!</t>
  </si>
  <si>
    <t>Stahl, gerhärtet, &lt; 65 HRC</t>
  </si>
  <si>
    <t>Stål, m/middel kulindhold, &lt; 0,55% C, &lt; 700 N/mm2</t>
  </si>
  <si>
    <t>Keerme freesimine</t>
  </si>
  <si>
    <t>Stål, m/høj kulindhold, &lt; 0,85% C, &lt; 850N/mm2</t>
  </si>
  <si>
    <t>Stål, lavt legeret, &lt; 850 N/mm2</t>
  </si>
  <si>
    <t>Stål, højt legeret, &lt; 1200 N/mm2</t>
  </si>
  <si>
    <t>Stål, hærdet, &lt; 45 HRC</t>
  </si>
  <si>
    <t>Stål, hærdet, &lt; 55 HRC</t>
  </si>
  <si>
    <t>Stål, hærdet, &lt; 65 HRC</t>
  </si>
  <si>
    <t>Støbegods GG, &lt; 500N/mm2</t>
  </si>
  <si>
    <t>Ståbegods GG, &lt; 1000N/mm2</t>
  </si>
  <si>
    <t>Støbegods GGG, &lt; 700N/mm2</t>
  </si>
  <si>
    <t>Støbegods GGG, &lt; 1000N/mm2</t>
  </si>
  <si>
    <t>Rustfrit automatstål</t>
  </si>
  <si>
    <t>Rustfrit stål, Austenitisk</t>
  </si>
  <si>
    <t>Rustfrit stål, ferritisk/austenitisk</t>
  </si>
  <si>
    <t>Titanium, ulegeret, &lt; 700 N/mm2</t>
  </si>
  <si>
    <t>Kuidas kasutada programmi</t>
  </si>
  <si>
    <t>Fd = avanzamento al centro della fresa (mm/min)</t>
  </si>
  <si>
    <t>T = tempo di esecuzione del filetto(secondi)</t>
  </si>
  <si>
    <t>Programma CNC per Fanuc</t>
  </si>
  <si>
    <t>Programma CNC per Siemens</t>
  </si>
  <si>
    <t>Gewindefräsen</t>
  </si>
  <si>
    <t>Værktøj med skaftreduktion</t>
  </si>
  <si>
    <t>Titan, legiert, &lt; 1250 N/mm2</t>
  </si>
  <si>
    <t>Grafito</t>
  </si>
  <si>
    <t>Aluminium, olegerat</t>
  </si>
  <si>
    <t>Aluminium, legerat, &lt; 0.5% Si</t>
  </si>
  <si>
    <t>l = fræserens skærekantslængde (mm)</t>
  </si>
  <si>
    <t>z = antal skær</t>
  </si>
  <si>
    <t>V = skærehastighed (m/min)</t>
  </si>
  <si>
    <t>Fz = tilspænding/tand (mm/tand)</t>
  </si>
  <si>
    <t>antal overløb, radialt (max. 3)</t>
  </si>
  <si>
    <t xml:space="preserve">antal overløb, axialt </t>
  </si>
  <si>
    <t>Nikkel, Legeeritud, &lt; 1250 N/mm3</t>
  </si>
  <si>
    <t>Vask, Mittelegeeritud, &lt; 350 N/mm3</t>
  </si>
  <si>
    <t>Vask, Messing, Pronks, &lt; 700 N/mm3</t>
  </si>
  <si>
    <t>Vask, Suure Tugevusega Pronks, &lt; 1500 N/mm3</t>
  </si>
  <si>
    <t>Alumiinium, Mittelegeeritud</t>
  </si>
  <si>
    <t>Alumiinium, Legeeritud, &lt; 0.5% Si</t>
  </si>
  <si>
    <t>Stahl, Kohlenstoffgehalt &lt; 0,25%, &lt; 400 N/mm2</t>
  </si>
  <si>
    <t>NPT - Koonus torukeere</t>
  </si>
  <si>
    <t>Alumiinium, Legeeritud, &lt; 10% Si</t>
  </si>
  <si>
    <t>Alumiinium, Legeeritud, &gt; 10% Si</t>
  </si>
  <si>
    <t>Inkonell 718</t>
  </si>
  <si>
    <t>Grafiit</t>
  </si>
  <si>
    <t>D = keerme diameeter (mm)</t>
  </si>
  <si>
    <t>Teras, Karastatud, &lt; 55 HRC</t>
  </si>
  <si>
    <t>Teras, Karastatud, &lt; 65 HRC</t>
  </si>
  <si>
    <t>Malm, Libleline Grafiit, &lt; 500 N/mm3</t>
  </si>
  <si>
    <t>Malm, Libleline Grafiit, &lt; 1000 N/mm3</t>
  </si>
  <si>
    <t>Malm, Keragrafiit, Tempermalm, &lt; 700 N/mm3</t>
  </si>
  <si>
    <t>Märgi freesi läbimõõt lahtrisse5, lahtrisse 6 plaadi lõikepikkus ja lahtrisse 7 plaatide arv. Vajadusel sooritab programm mitu tsüklit, et saavutada vajalik keerme pikkus.</t>
  </si>
  <si>
    <t>Malm, Keragrafiit, Tempermalm, &lt; 1000 N/mm3</t>
  </si>
  <si>
    <t>Roostevabateras, Hea Lõiketöödelduvusega</t>
  </si>
  <si>
    <t>Roostevabateras, Austeniitne</t>
  </si>
  <si>
    <t>Teras, Kõrglegeeritud sulam, &lt; 1200 N/mm3</t>
  </si>
  <si>
    <t>Teras, Karastatud, &lt; 45 HRC</t>
  </si>
  <si>
    <t>Titaan, Mittelegeeritud, &lt; 700 N/mm3</t>
  </si>
  <si>
    <t>Indvendig gevindfræsning i Maskincenter</t>
  </si>
  <si>
    <t>Indvendig gevindfræsning m/drevne værktøjer</t>
  </si>
  <si>
    <t>Titanium, ongelegeerd, &lt; 700 N/mm2</t>
  </si>
  <si>
    <t>Titanium, gelegeerd, &lt; 900 N/mm2</t>
  </si>
  <si>
    <t>Programma CNC per Mitsubishi</t>
  </si>
  <si>
    <t>Hvis værktøjet har en kortere skærekantslængde end gevindlængden vil programmet automatisk lave gevindet i flere overløb axialt.</t>
  </si>
  <si>
    <t>Vendeskærs gevindfræser</t>
  </si>
  <si>
    <t>Vali keel alt paremast nurgast, tee valikud rippmenüüdest ja täida neli esimest lahtrit. Sisestades piisavalt andmeid kuvab programm soovitusliku valiku freese. Kui oled valinud ühe freesidest, kuvatakse andmed freesist kaasa arvatud soovituslikud lõike andmed ja töö kestvuse. Täielik CNC programm on ka nähtaval ja selle saab lihtsalt kopeerida CNC faili. Ülejäänud kuus lahtrit täidetakse ainult juhul kui soovituslikud andmed ei ole sobivad.</t>
  </si>
  <si>
    <t>Instrumendi kompenseerimine</t>
  </si>
  <si>
    <t>Programma CNC per Fagor</t>
  </si>
  <si>
    <t>Programma CNC per Mazak</t>
  </si>
  <si>
    <t>Fd = Vorschub im Fräser-Zentrum (mm/min)</t>
  </si>
  <si>
    <t>T = Zeit zum Fräsen des Gewindes (sek)</t>
  </si>
  <si>
    <t>L = thread length (mm)</t>
  </si>
  <si>
    <t>S = safety distance (mm)</t>
  </si>
  <si>
    <t>Korrekt gevinddiameter - første gang</t>
  </si>
  <si>
    <t>Programm sooritab automaatselt keermestuse mitmes järgus juhul kui freesil on lühem lõike pikkus kui soovitud keerme pikkus.</t>
  </si>
  <si>
    <t>P = tipo de rosca (TPI)</t>
  </si>
  <si>
    <t xml:space="preserve">Med dette program anvendes værktøjskompensering kun til mindre justeringer. Dette vil elimenere de problemer som kan opstå hvis der anvendes radialkompensering på små forskydninger. Angiv derfor en værdi nær 0 for fræserens diameter i værktøjsbiblioteket på styresystemet. </t>
  </si>
  <si>
    <t>Numero di passate, radiali (max 3)</t>
  </si>
  <si>
    <t>Numero di  passate, assiali</t>
  </si>
  <si>
    <t>N = Rotazione mandrino (rpm)</t>
  </si>
  <si>
    <t>Hvis der vælges et standardværktøj med en eller to tænder, type NM, vil programmet automatisk skabe en cyklus som laver en spiral indtil gevindet er færdigt. Hvis der ønskes en lignende cyklus med et andet værktøj skal stigningen angives som fræserens skærekantslængde i rubrik 6.</t>
  </si>
  <si>
    <t>In questo programma, la compensazione è  usata solo per piccole registrazioni.  Questo eliminerà problemi che possono verificarsi quando si usa una compensazione  del raggio in movimenti corti. Scegliete pertanto un valore vicino allo zero per diametro tagliente nella libreria del sistema di controllo.</t>
  </si>
  <si>
    <t>Diametro di filettatura corretto già pronto</t>
  </si>
  <si>
    <t>Se state usando un utensile che non è elencato, dovete inserire il diametro fresa, la lunghezza tagliente ed il numero dei taglienti nei riquadri 5, 6 e 7.</t>
  </si>
  <si>
    <t>Frese a filettare con solo uno o due denti</t>
  </si>
  <si>
    <t>Läbimite arv, aksiaalne</t>
  </si>
  <si>
    <t>N = spindli pöörete arv (rpm)</t>
  </si>
  <si>
    <t>FD = ettenihe keerme diameetril (mm/min)</t>
  </si>
  <si>
    <t>Fd = ettenihe freesi keskmes (mm/min)</t>
  </si>
  <si>
    <t>Roostevabateras, Ferriitne ja Austeniitne</t>
  </si>
  <si>
    <t>Nikkel, Mittelegeeritud, &lt; 500 N/mm3</t>
  </si>
  <si>
    <t>Nikkel, Legeeritud, &lt; 900 N/mm3</t>
  </si>
  <si>
    <t>Utensili non in lista o speciali</t>
  </si>
  <si>
    <t>T = aeg keerme freesimiseks (seconds)</t>
  </si>
  <si>
    <t>CNC programm Fanuc</t>
  </si>
  <si>
    <t>CNC programm Siemens</t>
  </si>
  <si>
    <t>CNC programm Num</t>
  </si>
  <si>
    <t>CNC programm Fagor</t>
  </si>
  <si>
    <t>CNC programm Mazak</t>
  </si>
  <si>
    <t>CNC programm Mitsubishi</t>
  </si>
  <si>
    <t>Gietijzer, Lamellair grafiet, &lt; 1000 N/mm2</t>
  </si>
  <si>
    <t>Titaan, Legeeritud, &lt; 1250 N/mm3</t>
  </si>
  <si>
    <t>Freesi läbimõõt on väikseim kohe peale viimast täis keeret. Seetõttu on vajalik märkida keerme läbimõõt kohalt kus just see freesi koht töötab.</t>
  </si>
  <si>
    <t>tagasi</t>
  </si>
  <si>
    <t>Romana</t>
  </si>
  <si>
    <t>Filettatura interna con fresa in centro di lavoro</t>
  </si>
  <si>
    <t>Filettatura interna con fresa in tornio con contropunta</t>
  </si>
  <si>
    <t>NPTF</t>
  </si>
  <si>
    <t>PG</t>
  </si>
  <si>
    <t>Acciai con basso tenore di carbonio, &lt; 0,25% C, &lt; 400 N/mm3</t>
  </si>
  <si>
    <t>Acciai con medio tenore di carbonio, &lt; 0,55% C, &lt; 700 N/mm3</t>
  </si>
  <si>
    <t>Titaan, Legeeritud, &lt; 900 N/mm3</t>
  </si>
  <si>
    <t>d = fræser diameter (mm)</t>
  </si>
  <si>
    <t>Palun, loe enne kasutamist!</t>
  </si>
  <si>
    <t>Hoiatus!</t>
  </si>
  <si>
    <t xml:space="preserve">z = numero di taglienti </t>
  </si>
  <si>
    <t>Hvis det anvendte værktøj ikke findes på listen, kan du selv udfylde fræserens diameter, skærekantslængde og antal skær i rubrikkerne 5 - 7.</t>
  </si>
  <si>
    <t>Teras, Kesksüsinik, &lt; 0,55% C, &lt; 700 N/mm3</t>
  </si>
  <si>
    <t>Teras, Kõrgesüsinik, &lt; 0,85% C, &lt; 850 N/mm3</t>
  </si>
  <si>
    <t>Teras, Madallegeeritud sulam, &lt; 850 N/mm3</t>
  </si>
  <si>
    <t xml:space="preserve">Attenzione, leggere prima di usare </t>
  </si>
  <si>
    <t>Attenzione!</t>
  </si>
  <si>
    <t>Staal, gehard, &lt; 45 HRC</t>
  </si>
  <si>
    <t>Staal, gehard, &lt; 55 HRC</t>
  </si>
  <si>
    <t>Come usare il programma</t>
  </si>
  <si>
    <t>Thread Mills with one or two teeth per flute</t>
  </si>
  <si>
    <t>Thread Mills with smaller waist</t>
  </si>
  <si>
    <t>Unlisted and Special Tooling</t>
  </si>
  <si>
    <t>Værktøjskompensering</t>
  </si>
  <si>
    <t>programm teeb automaatselt spiraali algusest kuni keere on valmis, kui valid standartse NM tüüpi freesi ühe või kahe hambaga. Kui tahad teha sama asja teise instrumendiga siis pead keerme sammu registreerima lõikeserva pikkusena lahtris 6.</t>
  </si>
  <si>
    <t>Keerme freesid ahendatud keskosaga</t>
  </si>
  <si>
    <t>L = comprimento da rosca (mm)</t>
  </si>
  <si>
    <t>S = distancia de segurança (mm)</t>
  </si>
  <si>
    <t>d = diâmetro de corte (mm)</t>
  </si>
  <si>
    <t>l = comprimento de corte da fresa (mm)</t>
  </si>
  <si>
    <t xml:space="preserve">Vælg sprog længst nede i højre hjørne og foretag derefter dine valg i rullegardinsmenuerne samt udfyld de første 4 rubrikker. Med denne information fremkommer et forslag i den sidste rullegardinsmenu med forslag på anvendelige værktøjer. Når du har valgt et værktøj fremkommer der information om værktøjet, de anbefalede skæredata samt den tid det vil tage at fremstille gevindet. Udover førnævnte fremkommer CNC programmet. Dette kan kopieres over i din CNC-fil. De øvrige ruder udfyldes kun, hvis ikke det fremkomne forslag kan accepteres. </t>
  </si>
  <si>
    <t>Sisekeerme freesimine freespingis</t>
  </si>
  <si>
    <t>Sisekeerme freesimine treipingis pöörleva instrumendiga</t>
  </si>
  <si>
    <t>M - Meeterkeere</t>
  </si>
  <si>
    <t>FD = avanzamento al diametro di filettatura (mm/min)</t>
  </si>
  <si>
    <t>Programma CNC per Num</t>
  </si>
  <si>
    <t>Fræserens diameter som angives, skal måles ved gevindet nærmest skaftet. Derfor skal gevindets diameter være den del af værktøjet som er i indgreb.</t>
  </si>
  <si>
    <t>tilbage</t>
  </si>
  <si>
    <t>NPTF - Kuivtihendus, Koonus torukeere</t>
  </si>
  <si>
    <t>NPSF - Torukeere</t>
  </si>
  <si>
    <t>Kobber, ulegeret, &lt; 350 N/mm2</t>
  </si>
  <si>
    <t>Kobber, Messing, Bronze, &lt; 700N/mm2</t>
  </si>
  <si>
    <t>Kobber, Bronze, høj brudstyrke, &lt; 1500 N/mm2</t>
  </si>
  <si>
    <t>Aluminium, ulegeret</t>
  </si>
  <si>
    <t>Aluminium, legeret, &lt; 0,5% Si</t>
  </si>
  <si>
    <t>Aluminium, legeret, &lt; 10% Si</t>
  </si>
  <si>
    <t>D = gevind diameter (mm)</t>
  </si>
  <si>
    <t>P = Stigning (TPI)</t>
  </si>
  <si>
    <t>L = gevind længde (mm)</t>
  </si>
  <si>
    <t>S.v.p. lezen voor gebruik</t>
  </si>
  <si>
    <t>S = Sikkerhedsafstand (mm)</t>
  </si>
  <si>
    <t>S = ohutus vahe (mm)</t>
  </si>
  <si>
    <t>d = freesi diameeter (mm)</t>
  </si>
  <si>
    <t>l = lõikeserva pikkus (mm)</t>
  </si>
  <si>
    <t>z = laastusoonte arv</t>
  </si>
  <si>
    <t>V = lõikekiirus (m/min)</t>
  </si>
  <si>
    <t>Alluminio legato, &lt; 0.5% Si</t>
  </si>
  <si>
    <t>Alluminio legato, &lt; 10% Si</t>
  </si>
  <si>
    <t>Alluminio legato, &gt; 10% Si</t>
  </si>
  <si>
    <t>Grafite</t>
  </si>
  <si>
    <t>D = diametro filettatura (mm)</t>
  </si>
  <si>
    <t>P = passo (mm)</t>
  </si>
  <si>
    <t>P = passo TPI (filetti per pollice)</t>
  </si>
  <si>
    <t>L =lunghezza filettatura (mm)</t>
  </si>
  <si>
    <t>S = distanza di sicurezza (mm)</t>
  </si>
  <si>
    <t>d = diametro fresa (mm)</t>
  </si>
  <si>
    <t>l = lunghezza tagliente (mm)</t>
  </si>
  <si>
    <t>Gietijzer, Lamellair grafiet, &lt; 500 N/mm2</t>
  </si>
  <si>
    <t>Ghisa, lamellare e grafitica, &lt; 500 N/mm3</t>
  </si>
  <si>
    <t>P = keermesamm (mm)</t>
  </si>
  <si>
    <t>P = keermesamm (TPI)</t>
  </si>
  <si>
    <t>L = keerme pikkus (mm)</t>
  </si>
  <si>
    <t>Nichel non legato, &lt; 500 N/mm3</t>
  </si>
  <si>
    <t>Nichel legato, &lt; 900 N/mm3</t>
  </si>
  <si>
    <t>Nichel legato, &lt; 1250 N/mm3</t>
  </si>
  <si>
    <t>Teras, Madalsüsinik, &lt; 0,25% C, &lt; 400 N/mm3</t>
  </si>
  <si>
    <t>Keerme frees vahetatavate plaatidega</t>
  </si>
  <si>
    <t>Fz = etteandmine/hammas (mm/tooth)</t>
  </si>
  <si>
    <t>Läbimite arv, radiaalne (max 3)</t>
  </si>
  <si>
    <t>Kooniline keere</t>
  </si>
  <si>
    <t>Il diametro tagliente di riferimento è sopra l'ultimo filetto completo vicino al codolo.E' pertanto necessario posizionare il diametro del filetto dove questa parte della fresa lavora.</t>
  </si>
  <si>
    <t>Indietro</t>
  </si>
  <si>
    <t>Inwendig draadsnijden op bewerkingscentrum</t>
  </si>
  <si>
    <t>BSPT - Tapered Pijpdraad</t>
  </si>
  <si>
    <t>NPT - Tapered Pijpdraad</t>
  </si>
  <si>
    <t>NPTF - Dryseal, Tapered Pijpdraad</t>
  </si>
  <si>
    <t>NPSF - Pijpdraad</t>
  </si>
  <si>
    <t>Staal ongelegeerd, &lt; 0,25% C, &lt; 400 N/mm2</t>
  </si>
  <si>
    <t>V = velocità di taglio (m/min)</t>
  </si>
  <si>
    <t>Fz = avanzamento per dente (mm/dente)</t>
  </si>
  <si>
    <t>Gietijzer, Nodulair Grap., smeedbaar, &lt; 700 N/mm2</t>
  </si>
  <si>
    <t>Gietijzer, Nodulair Grap., smeedbaar, &lt; 1000 N/mm2</t>
  </si>
  <si>
    <t>Roestvrijstaal, automatenstaal</t>
  </si>
  <si>
    <t>Roestvrijstaal, Austenitisch</t>
  </si>
  <si>
    <t>Roestvrijstaal, Ferritisch en Austenitisch</t>
  </si>
  <si>
    <t xml:space="preserve">Als u een standaard frees met één tand resp. twee tanden uitkiest (Type NM), zal het programma automatisch een cyclus  cyclus samenstellen, welke een spiraal genereerd waarbij de draad gereed is. Wilt u handmatig een cyclus met een ander gereedschap maken dan geeft u de spoed en de snijlengte aan in veld nr. 6. </t>
  </si>
  <si>
    <t>Gereedschappen met taille</t>
  </si>
  <si>
    <t>Als het gereedschap een kortere snijlengte heeft als de draadlengte, zal het programma automatisch het aantal noodzakelijke axiale doorgangen snijden.</t>
  </si>
  <si>
    <t>Draadfrezen met wisselplaten</t>
  </si>
  <si>
    <t>Staal,koolstofstaal, &lt; 0,85% C, &lt; 850 N/mm2</t>
  </si>
  <si>
    <t>Staal, gelegeerd, &lt; 850 N/mm2</t>
  </si>
  <si>
    <t>Staal, hooggelegeerd, &lt; 1200 N/mm2</t>
  </si>
  <si>
    <t>Erilised ja spetsiaalsed seaded</t>
  </si>
  <si>
    <t>Hoe het programma te gebruiken</t>
  </si>
  <si>
    <t>P = tipo de rosca (mm)</t>
  </si>
  <si>
    <t>Digite o diâmetro de corte no quadrado nr:5, longitude de corte no quadrado nr:6 e quantidade de lábios no quadrado nr:7. Se necessário o programa automaticamente fará a fresa em mais etapas.</t>
  </si>
  <si>
    <t>UN - Unifitseeritud keere</t>
  </si>
  <si>
    <t>BSPT - Koonus torukeere</t>
  </si>
  <si>
    <t>Frese a filettare corte</t>
  </si>
  <si>
    <t>Acciai con alto tenore di carbonio, &lt; 0,85% C, &lt; 850 N/mm3</t>
  </si>
  <si>
    <t>Acciai poco legati , &lt; 850 N/mm3</t>
  </si>
  <si>
    <t>Acciai alto legati , &lt; 1200 N/mm3</t>
  </si>
  <si>
    <t>Acciai temperati &lt; 45 HRC</t>
  </si>
  <si>
    <t>Acciai temperati , &lt; 55 HRC</t>
  </si>
  <si>
    <t>Nikkel, legeret, &lt; 1250M/mm2</t>
  </si>
  <si>
    <t>Scegliete  la lingua in basso sulla destra e fate le vostre scelte compilando i primi 4 riquadri. Subito il programma evidenzia una gamma di frese per filettare consigliata. Quando avete scelto una fresa compare l'informazione in merito all'utensile, ai parametri di taglio consigliati ed al tempo necessario per produrre il filetto. Il programma CNC viene inoltre mostrato per intero. Il programma  CNC può essere copiato e incollato nel vostro file CNC. Gli altri 6 riquadri possono essere compilati solo se non accettate quelli raccomandati.</t>
  </si>
  <si>
    <t>Compensazione utensile</t>
  </si>
  <si>
    <t>N = Toerental spindel (rpm)</t>
  </si>
  <si>
    <t>FD = voeding aan de draaddiameter diameter (mm/min)</t>
  </si>
  <si>
    <t>Fd = voeding in het centrum v/d frees (mm/min)</t>
  </si>
  <si>
    <t>T = tijd om de draad te frezen (seconden)</t>
  </si>
  <si>
    <t>CNC programma voor Fanuc</t>
  </si>
  <si>
    <t>CNC programma voor Siemens</t>
  </si>
  <si>
    <t>CNC programma voor Num</t>
  </si>
  <si>
    <t>CNC programma voor Fagor</t>
  </si>
  <si>
    <t>CNC programma voorMazak</t>
  </si>
  <si>
    <t>CNC programma voor Mitsubishi</t>
  </si>
  <si>
    <t>Draadfrezen</t>
  </si>
  <si>
    <t>Il programma produrrà automaticamente il filetto in diverse passate se la fresa a filettare ha una lunghezza tagliente più corta della lunghezza richiesta.</t>
  </si>
  <si>
    <t>Ghisa,  lamellare e grafitica, &lt; 1000 N/mm3</t>
  </si>
  <si>
    <t>Ghisa, nodulare e malleabile, &lt; 700 N/mm3</t>
  </si>
  <si>
    <t>Ghisa, nodulare e malleabile, &lt; 1000 N/mm3</t>
  </si>
  <si>
    <t>Titânio, não alegado, &lt; 700 N/mm2</t>
  </si>
  <si>
    <t>Titânio, alegado, &lt; 900 N/mm2</t>
  </si>
  <si>
    <t>Titânio, alegado,&lt; 1250 N/mm2</t>
  </si>
  <si>
    <t>Níquel, não alegado, &lt; 500 N/mm2</t>
  </si>
  <si>
    <t>Níquel, alegado, &lt; 900 N/mm2</t>
  </si>
  <si>
    <t>Acciaio inossidabile di buona lavorabilità</t>
  </si>
  <si>
    <t>Acciaio inossidabile austenitico</t>
  </si>
  <si>
    <t>Rame non legato, &lt; 350 N/mm3</t>
  </si>
  <si>
    <t>Rame, ottone, bronzo, &lt; 700 N/mm3</t>
  </si>
  <si>
    <t>Rame, ottone molto legato, &lt; 1500 N/mm3</t>
  </si>
  <si>
    <t>Alluminio non legato</t>
  </si>
  <si>
    <t>Acciaio inossidabile ferritico ed austenitico</t>
  </si>
  <si>
    <t>Titanio non legato, &lt; 700 N/mm3</t>
  </si>
  <si>
    <t>Staal, Constructiestaal, &lt; 0,55% C, &lt; 700 N/mm2</t>
  </si>
  <si>
    <t>Fresa per filettare</t>
  </si>
  <si>
    <t>Draadfrezen met een tand / twee tanden (axiaal)</t>
  </si>
  <si>
    <t>In dit programma wordt compensatie alleen gebruikt voor het maken van kleine aanpassingen.Dit elimineert problemen welke zich voor kunnen doen als men radius compensatie gebruikt bij kleine bewegingen. Kies daarvoor een waarde vlak bij nul voor de freesdiameter in de gereedschapmap van het besturingssysteem.</t>
  </si>
  <si>
    <t>Correcte draadfreesdiameter direct</t>
  </si>
  <si>
    <t>Frese a filettare ad inserti  intercambiabili</t>
  </si>
  <si>
    <t>Staal, gehard, &lt; 65 HRC</t>
  </si>
  <si>
    <t>Selles programmis kasutatakse instrumendi kompenseerimist ainult väiksemateks muudatusteks. See kõrvaldab probleemid mis avalduvad kui kasutatakse raadiuse kompenseerimist lühikesel liikumisel. Seetõttu kasuta nulli lähedast väärtust freesil töötlemis andmete kontroll süsteemis.</t>
  </si>
  <si>
    <t>Õige keerme läbimõõt koheselt</t>
  </si>
  <si>
    <t>Kui kasutad instrumenti mis ei ole nimekirjas siis saad sisestada freesi läbimõõdu, pikkuse ja lõikeservade arvu lahtritesse 5-7.</t>
  </si>
  <si>
    <t>Freesid ühe või kahe hambaga lõikeserva kohta</t>
  </si>
  <si>
    <t>Escolha língua no canto direito embaixo e faça depois suas escolhas nas quatro linhas e preencha os quatro primeiros quadrados.Com a informação preenchida o programa recomendara materiais adequados. Quando você tiver escolhido o material que será usado, vários dados serão revelados, como: informações sobre o material; dados recomendados; quantidade de tempo para a peça ficar pronta e agora você pode também ver o programa que facilmente pode ser copiado para outro arquivo. Os outro seis quadrados só devem ser preenchidos se os dados recomendados não forem aceitos.</t>
  </si>
  <si>
    <t>CNC programa para Fagor</t>
  </si>
  <si>
    <t>CNC programa para Mazak</t>
  </si>
  <si>
    <t>CNC programa para Mitsubishi</t>
  </si>
  <si>
    <t>Fresa de rosca</t>
  </si>
  <si>
    <t>Leia antes de usar</t>
  </si>
  <si>
    <t>Atenção!</t>
  </si>
  <si>
    <t>Программа ЧПУ для Fagor</t>
  </si>
  <si>
    <t>Программа ЧПУ для Mazak</t>
  </si>
  <si>
    <t>Aluminium, gelegeerd, &gt; 10% Si</t>
  </si>
  <si>
    <t>Grafiet</t>
  </si>
  <si>
    <t>Koper, Brons, &lt; 700 N/mm2</t>
  </si>
  <si>
    <t>Koper, extra sterk Brons, &lt; 1500 N/mm2</t>
  </si>
  <si>
    <t>Aluminium, ongelegeerd</t>
  </si>
  <si>
    <t>Aluminium, gelegeerd, &lt; 0.5% Si</t>
  </si>
  <si>
    <t>Aluminium, gelegeerd, &lt; 10% Si</t>
  </si>
  <si>
    <t>Ferro fundido, lamina de grafite &lt; 1000 N/mm2</t>
  </si>
  <si>
    <t>Ferro fundido, graf. Esfer., maleável, &lt; 700 N/mm2</t>
  </si>
  <si>
    <t>Ferro fundido, graf. Esfer., maleável,&lt; 1000 N/mm2</t>
  </si>
  <si>
    <t>Inoxidável, fácil de mecanizar</t>
  </si>
  <si>
    <t>Inoxidável, austenitico</t>
  </si>
  <si>
    <t>Inoxidável, ferritico e austenitico</t>
  </si>
  <si>
    <t>Níquel, alegado, &lt; 1250 N/mm2</t>
  </si>
  <si>
    <t>Cobre, não alegado, &lt; 350 N/mm2</t>
  </si>
  <si>
    <t>Cobre, lata, bronze, &lt; 700 N/mm2</t>
  </si>
  <si>
    <t>Cobre, bronze de alta resistência, &lt; 1500 N/mm2</t>
  </si>
  <si>
    <t>Alumínio, não alegado</t>
  </si>
  <si>
    <t>Acciai temperati , &lt; 65 HRC</t>
  </si>
  <si>
    <t>Kies een gebruikerstaal rechts onderaan het drop-down menu en vul vervolgens de de eerste vier vakken in. Met behulp van deze informatie zal het programma een aanbevolen lijst van frezen presenteren. Als u een van de frezen kiest zal informatie over de frees worden getoond inclusief aanbevolen snijgegevens en tijd om de draad te produceren. Het complete CNC programma zal ook getoond worden. Het CNC programma kan door kopieren en plakken in uw CNC file worden ingelezen. De andere 6 velden worden alleen gevuld als u de aangeboden gegevens niet accepteert.</t>
  </si>
  <si>
    <t>Gereedschap compensatie</t>
  </si>
  <si>
    <t>Titanio legato, &lt; 900 N/mm3</t>
  </si>
  <si>
    <t>Titanio legato, &lt; 1250 N/mm3</t>
  </si>
  <si>
    <t>NPTF – сухая, коническая трубная резьба</t>
  </si>
  <si>
    <t>NPSF – трубная резьба</t>
  </si>
  <si>
    <t>PG – резьба из армированного материала</t>
  </si>
  <si>
    <t>Сталь, низкоуглеродистая, &lt; 0,25% С, &lt; 400 Н/мм2</t>
  </si>
  <si>
    <t>Сталь, высокоуглеродистая, &lt; 0,85% С, &lt; 850 Н/мм2</t>
  </si>
  <si>
    <t>Сталь, низколегированный сплав, &lt; 850 Н/мм2</t>
  </si>
  <si>
    <t>Сталь, высоколегированный сплав, &lt; 1200 Н/мм2</t>
  </si>
  <si>
    <t>Сталь, закаленная, &lt; 45 HRC (твёрдость по шкале С Роквелла)</t>
  </si>
  <si>
    <t>Сталь, закаленная, &lt; 55 HRC (твёрдость по шкале С Роквелла)</t>
  </si>
  <si>
    <t>Scrivete il diametro della fresa nel riquadro 5, nel riquadro 6 la lunghezza filettata dell'inserto e nel riquadro 7 il numero degli inserti.Se richiesto, il programma produrrà automaticamente l'intera lunghezza della filettatura con diverse passate.</t>
  </si>
  <si>
    <t>Filettature coniche</t>
  </si>
  <si>
    <t>Numero de passadas, radial (max 3)</t>
  </si>
  <si>
    <t>Numero de passadas, axial</t>
  </si>
  <si>
    <t>N = Velocidade de giro (v/min)</t>
  </si>
  <si>
    <t>T = tempo para fresar a rosca (segundos)</t>
  </si>
  <si>
    <t>CNC programa para Fanuc</t>
  </si>
  <si>
    <t>低炭素鋼, &lt; 0,25% C, &lt; 400 N/mm2</t>
    <rPh sb="0" eb="1">
      <t/>
    </rPh>
    <rPh sb="1" eb="3">
      <t/>
    </rPh>
    <rPh sb="3" eb="4">
      <t/>
    </rPh>
    <phoneticPr fontId="4"/>
  </si>
  <si>
    <t>Speciaalgereedschap</t>
  </si>
  <si>
    <t>Als het gebruikte gereedschap niet in de lijst voorkomt kunt u zelf de freesdiameter, snijlengte van de frees en het aantal snijkanten in de velden 5-7 invoeren.</t>
  </si>
  <si>
    <t>Se uma fresa Standard com um ou dois dentes é escolhida, por exemplo NM, automaticamente o programa acrescenta um ciclo que faz um espiral até que a rosca esteja pronta. Se você quiser um ciclo parecido em outro tipo de fresa, digite o tipo de rosca (ISO, Whitworth, etc.), no mesmo quadrado que longitude de corte (quadrado nr:6).</t>
  </si>
  <si>
    <t>Fresas com cintura</t>
  </si>
  <si>
    <t>CNC programa para Siemens</t>
  </si>
  <si>
    <t>CNC programa para Num</t>
  </si>
  <si>
    <t>Se o material desejado não tem na lista sugerida você pode preencher o diâmetro de corte, longitude de corte e quantidade de lábios nos quadrados 5 à 7.</t>
  </si>
  <si>
    <t>Fresas com um ou dois dentes (na longitude)</t>
  </si>
  <si>
    <t>Aço, carbono baixo , &lt; 0,25% C, &lt; 400 N/mm2</t>
  </si>
  <si>
    <t>Aço, carbono médio, &lt; 0,55% C, &lt; 700 N/mm2</t>
  </si>
  <si>
    <t>G - Whitworth rörgänga</t>
  </si>
  <si>
    <t>Certo diâmetro diretamente</t>
  </si>
  <si>
    <t>Innvendig gjengefresing i fresemaskin</t>
  </si>
  <si>
    <t>Innvendig gjengefresing i dreiebenk med drevne verktøy</t>
  </si>
  <si>
    <t>D = draad diameter (mm)</t>
  </si>
  <si>
    <t>P = spoed (mm)</t>
  </si>
  <si>
    <t>Compensação do material</t>
  </si>
  <si>
    <t>Русский (ryska)</t>
  </si>
  <si>
    <t>Titanium, gelegeerd, &lt; 1250 N/mm2</t>
  </si>
  <si>
    <t>Nikkel, ongelegeerd, &lt; 500 N/mm2</t>
  </si>
  <si>
    <t>Nikkel, gelegeerd, &lt; 900 N/mm2</t>
  </si>
  <si>
    <t>Nikkel, gelegeerd, &lt; 1250 N/mm2</t>
  </si>
  <si>
    <t>Koper, ongelegeerd, &lt; 350 N/mm2</t>
  </si>
  <si>
    <t>Aço, alegado baixo,  &lt; 850 N/mm2</t>
  </si>
  <si>
    <t>Stål, høylegert, &lt;1200N/mm2</t>
  </si>
  <si>
    <t>Stål, herdet, &lt;45HRC</t>
  </si>
  <si>
    <t>Stål, herdet, &lt; 55HRC</t>
  </si>
  <si>
    <t>Aço, alegado alto,  &lt; 1200 N/mm2</t>
  </si>
  <si>
    <t>Stål, herdet, &lt; 65HRC</t>
  </si>
  <si>
    <t>Støpejern, &lt;500N/mm2</t>
  </si>
  <si>
    <t>Aço, templado, &lt; 45 HRC</t>
  </si>
  <si>
    <t>Aço, templado, &lt; 55 HRC</t>
  </si>
  <si>
    <t>Aço, templado, &lt; 65 HRC</t>
  </si>
  <si>
    <t>Ferro fundido, lamina de grafite, &lt; 500 N/mm2</t>
  </si>
  <si>
    <t>PG - Panserrørgjenge</t>
  </si>
  <si>
    <t>Neste programa a compensação do material só é usada em casos de ajustamentos pequenos. Isto eliminará problemas que podem ocorrer quando se usa compensação radial para movimentos curtos. Ponha por isso um valor prócimo a zero na bibliotéca do controle numérico..</t>
  </si>
  <si>
    <t>Сталь, закаленная, &lt; 65 HRC (твёрдость по шкале С Роквелла)</t>
  </si>
  <si>
    <t>Чугун, пластинчатый графит, &lt; 500 Н/мм2</t>
  </si>
  <si>
    <t>Чугун, пластинчатый графит, &lt; 1000 Н/мм2</t>
  </si>
  <si>
    <t>Чугун, сфероидальный графит, ковкий, &lt; 700 Н/мм2</t>
  </si>
  <si>
    <t>Чугун, сфероидальный графит, ковкий, &lt; 1000 Н/мм2</t>
  </si>
  <si>
    <t>Konische draad</t>
  </si>
  <si>
    <t>Медь, высокопрочная бронза, &lt; 1500 Н/мм2</t>
  </si>
  <si>
    <t>Алюминий, беспримесный</t>
  </si>
  <si>
    <t>Алюминий, сплавной, &lt; 0,5% Si</t>
  </si>
  <si>
    <t>Алюминий, сплавной, &lt; 10% Si</t>
  </si>
  <si>
    <t>Алюминий, сплавной, &gt; 10% Si</t>
  </si>
  <si>
    <t>Инконель 718</t>
  </si>
  <si>
    <t>Графит</t>
  </si>
  <si>
    <t>D = диаметр резьбы (мм)</t>
  </si>
  <si>
    <t>P = шаг (мм)</t>
  </si>
  <si>
    <t>d = диаметр резака (мм)</t>
  </si>
  <si>
    <t>l = длина режущего края (мм)</t>
  </si>
  <si>
    <t>z = количество бороздок</t>
  </si>
  <si>
    <t>V = скорость резки (м/мин.)</t>
  </si>
  <si>
    <t>Fz = подача/зубец (мм/зубец)</t>
  </si>
  <si>
    <t>CNC program for Mazakj</t>
  </si>
  <si>
    <t>Gjengefresing</t>
  </si>
  <si>
    <t>Количество прогонов, радиальных (макс. 3)</t>
  </si>
  <si>
    <t>Количество прогонов, осевых</t>
  </si>
  <si>
    <t>N = скорость вращения шпинделя (об./мин.)</t>
  </si>
  <si>
    <t>FD = подача при диаметре резьбы (мм/мин.)</t>
  </si>
  <si>
    <t>Fd = подача в центре фрезы (мм/мин.)</t>
  </si>
  <si>
    <r>
      <t xml:space="preserve">P = </t>
    </r>
    <r>
      <rPr>
        <sz val="9"/>
        <rFont val="돋움"/>
        <family val="3"/>
      </rPr>
      <t>피치</t>
    </r>
    <r>
      <rPr>
        <sz val="9"/>
        <rFont val="Verdana"/>
        <family val="2"/>
      </rPr>
      <t xml:space="preserve"> (mm)</t>
    </r>
  </si>
  <si>
    <r>
      <t xml:space="preserve">P = </t>
    </r>
    <r>
      <rPr>
        <sz val="9"/>
        <rFont val="돋움"/>
        <family val="3"/>
      </rPr>
      <t>피치</t>
    </r>
    <r>
      <rPr>
        <sz val="9"/>
        <rFont val="Verdana"/>
        <family val="2"/>
      </rPr>
      <t xml:space="preserve"> (TPI)</t>
    </r>
  </si>
  <si>
    <t>Резьбофрезерование</t>
  </si>
  <si>
    <t>Программа ЧПУ для Mitsubishi</t>
  </si>
  <si>
    <t>FD = avance em Øda rosca (mm/min)</t>
  </si>
  <si>
    <t>Fd = avance centro da fresa (mm/min)</t>
  </si>
  <si>
    <t>ＮＰＳＦ管用ねじ</t>
    <rPh sb="4" eb="6">
      <t/>
    </rPh>
    <phoneticPr fontId="4"/>
  </si>
  <si>
    <t>ＰＧねじ</t>
    <phoneticPr fontId="4"/>
  </si>
  <si>
    <t>高炭素鋼, &lt; 0,85% C, &lt; 850 N/mm2</t>
    <rPh sb="0" eb="1">
      <t/>
    </rPh>
    <rPh sb="1" eb="3">
      <t/>
    </rPh>
    <rPh sb="3" eb="4">
      <t/>
    </rPh>
    <phoneticPr fontId="4"/>
  </si>
  <si>
    <t>低合金鋼, &lt; 850 N/mm2</t>
    <rPh sb="0" eb="1">
      <t/>
    </rPh>
    <rPh sb="1" eb="3">
      <t/>
    </rPh>
    <rPh sb="3" eb="4">
      <t/>
    </rPh>
    <phoneticPr fontId="4"/>
  </si>
  <si>
    <t>Se a fresa tiver uma longitude de corte que seja mais curta do que a longitude da rosca, o programa automaticamente fará o certo número de roscas.</t>
  </si>
  <si>
    <t>Fresas com placas</t>
  </si>
  <si>
    <t>Alumínio, alegado, &lt; 0.5% Si</t>
  </si>
  <si>
    <t>Alumínio, alegado, &lt; 10% Si</t>
  </si>
  <si>
    <t>Alumínio, alegado &gt; 10% Si</t>
  </si>
  <si>
    <t>D = diâmetro da rosca (mm)</t>
  </si>
  <si>
    <t>z = quantidade de lábios</t>
  </si>
  <si>
    <t>V = velocidade de corte (m/min)</t>
  </si>
  <si>
    <t>Сталь, среднеуглеродистая, &lt; 0,55% С, &lt; 700 Н/мм2</t>
  </si>
  <si>
    <t>Ｓ＝安全な距離（㎜）</t>
    <rPh sb="2" eb="4">
      <t/>
    </rPh>
    <rPh sb="5" eb="7">
      <t/>
    </rPh>
    <phoneticPr fontId="4"/>
  </si>
  <si>
    <t>パス回数、ラジアル方向（最大３）</t>
    <rPh sb="2" eb="3">
      <t/>
    </rPh>
    <rPh sb="3" eb="4">
      <t/>
    </rPh>
    <rPh sb="9" eb="11">
      <t/>
    </rPh>
    <rPh sb="12" eb="14">
      <t/>
    </rPh>
    <phoneticPr fontId="4"/>
  </si>
  <si>
    <t>中炭素鋼、 &lt; 0,55% C, &lt; 700 N/mm2</t>
    <rPh sb="0" eb="1">
      <t/>
    </rPh>
    <rPh sb="1" eb="3">
      <t/>
    </rPh>
    <rPh sb="3" eb="4">
      <t/>
    </rPh>
    <phoneticPr fontId="4"/>
  </si>
  <si>
    <t>高合金鋼, &lt; 1200 N/mm2</t>
    <rPh sb="0" eb="1">
      <t/>
    </rPh>
    <rPh sb="1" eb="3">
      <t/>
    </rPh>
    <rPh sb="3" eb="4">
      <t/>
    </rPh>
    <phoneticPr fontId="4"/>
  </si>
  <si>
    <t>焼き入れ鋼, &lt; 45 HRC</t>
    <rPh sb="0" eb="1">
      <t/>
    </rPh>
    <phoneticPr fontId="4"/>
  </si>
  <si>
    <t>Como usar o programa</t>
  </si>
  <si>
    <t>T = время фрезерования резьбы (секунд)</t>
  </si>
  <si>
    <t>P = gangen (TPI)</t>
  </si>
  <si>
    <t>L = draadlengte (mm)</t>
  </si>
  <si>
    <t>S = veilige afstand (mm)</t>
  </si>
  <si>
    <t>d = frees diameter (mm)</t>
  </si>
  <si>
    <t xml:space="preserve">NPSF - rosca para canos </t>
  </si>
  <si>
    <t>l = lengte van de snijkant(mm)</t>
  </si>
  <si>
    <t>z = aantal tanden</t>
  </si>
  <si>
    <t>V = snijsnelheid (m/min)</t>
  </si>
  <si>
    <t>Fz = voeding/tand (mm/tand)</t>
  </si>
  <si>
    <t>Aantal stappen, radiaal (max 3)</t>
  </si>
  <si>
    <t>Aantal stappen, axiaal</t>
  </si>
  <si>
    <t>Программа ЧПУ для Fanuc</t>
  </si>
  <si>
    <t>Программа ЧПУ для Siemens</t>
  </si>
  <si>
    <t>Программа ЧПУ для Num</t>
  </si>
  <si>
    <t>G - Whitworth rørgevind</t>
  </si>
  <si>
    <t>G - Whitworth-Rohrgewinde</t>
  </si>
  <si>
    <t>G - Whitworth torukeere</t>
  </si>
  <si>
    <t>G - Whitworth Pipe Thread</t>
  </si>
  <si>
    <t>G - Whitworth, rosca de tubo</t>
  </si>
  <si>
    <t>G - Whitworth pijpdraad</t>
  </si>
  <si>
    <t>G - Whitworth rosca para canos</t>
  </si>
  <si>
    <t>G - Filet pentru tevi Whitworth</t>
  </si>
  <si>
    <t>Нержавеющая сталь, хорошая обрабатываемость</t>
  </si>
  <si>
    <t>Внутреннее резьбофрезерование в многоцелевом станке</t>
  </si>
  <si>
    <t>Внутреннее резьбофрезерование в токарном станке</t>
  </si>
  <si>
    <t>М – метрический</t>
  </si>
  <si>
    <t>G - Whitworth rorgjenge</t>
  </si>
  <si>
    <t>BSPT - konisk rørgjenge</t>
  </si>
  <si>
    <t>NPT - konisk rørgjenge</t>
  </si>
  <si>
    <t>NPTF - dryseal, konisk rørgjenge</t>
  </si>
  <si>
    <t>NPSF - rørgjenge</t>
  </si>
  <si>
    <t>Stål &lt;0,25%C, &lt;400N/mm2</t>
  </si>
  <si>
    <t>Stål, &lt;0,55%C, &lt;700N/mm2</t>
  </si>
  <si>
    <t>Stål, &lt;0,85%C, &lt;850N/mm2</t>
  </si>
  <si>
    <t>Aço, carbono alto, &lt; 0,85% C, &lt; 850 N/mm2</t>
  </si>
  <si>
    <t>Om verktøyet du bruker ikke finnes på listen kan du selv fylle inn fresens skjærdiameter, skjærlengde og antall skjær i rute 5-7.</t>
  </si>
  <si>
    <t>Verktøy med 2 skjær (aksielt)</t>
  </si>
  <si>
    <t>Stål , lavlegert, &lt;850N/mm2</t>
  </si>
  <si>
    <t>De aangegeven freesdiameter is bij de tand het dichtst bij de schacht. Daarom moet de aan te geven draaddiameter daar zijn , waar het deel van de frees ingrijpt.</t>
  </si>
  <si>
    <t>terug</t>
  </si>
  <si>
    <t>Waarschuwing!</t>
  </si>
  <si>
    <t>Rosca interior em uma fresadora</t>
  </si>
  <si>
    <t xml:space="preserve">Rosca interior em uma torneadora </t>
  </si>
  <si>
    <t>com equipamento de movimento próprio</t>
  </si>
  <si>
    <t>M - Métrico</t>
  </si>
  <si>
    <t>BSPT - rosca para canos cônicos</t>
  </si>
  <si>
    <t>NPT - rosca para canos cônicos</t>
  </si>
  <si>
    <t>NPTF - dryseal, rosca para canos cônicos</t>
  </si>
  <si>
    <t>Медь, латунь, бронза, &lt; 700 Н/мм2</t>
  </si>
  <si>
    <r>
      <t>Fd=</t>
    </r>
    <r>
      <rPr>
        <sz val="9"/>
        <rFont val="ＭＳ Ｐゴシック"/>
        <family val="3"/>
        <charset val="128"/>
      </rPr>
      <t>カッタの中心での送り（</t>
    </r>
    <r>
      <rPr>
        <sz val="9"/>
        <rFont val="Verdana"/>
        <family val="2"/>
      </rPr>
      <t>mm/min)</t>
    </r>
    <rPh sb="7" eb="9">
      <t/>
    </rPh>
    <rPh sb="11" eb="12">
      <t/>
    </rPh>
    <phoneticPr fontId="4"/>
  </si>
  <si>
    <r>
      <t>T=</t>
    </r>
    <r>
      <rPr>
        <sz val="9"/>
        <rFont val="ＭＳ Ｐゴシック"/>
        <family val="3"/>
        <charset val="128"/>
      </rPr>
      <t>ねじの加工時間（秒）</t>
    </r>
    <rPh sb="5" eb="7">
      <t/>
    </rPh>
    <rPh sb="7" eb="9">
      <t/>
    </rPh>
    <rPh sb="10" eb="11">
      <t/>
    </rPh>
    <phoneticPr fontId="4"/>
  </si>
  <si>
    <t>ファナック用ＣＮＣプログラム</t>
    <rPh sb="5" eb="6">
      <t/>
    </rPh>
    <phoneticPr fontId="4"/>
  </si>
  <si>
    <t>ハイデンハイン用ＣＮＣプログラム</t>
    <rPh sb="7" eb="8">
      <t/>
    </rPh>
    <phoneticPr fontId="4"/>
  </si>
  <si>
    <t>シーメンス用ＣＮＣプログラム</t>
    <rPh sb="5" eb="6">
      <t/>
    </rPh>
    <phoneticPr fontId="4"/>
  </si>
  <si>
    <t>Num用ＣＮＣプログラム</t>
    <rPh sb="3" eb="4">
      <t/>
    </rPh>
    <phoneticPr fontId="4"/>
  </si>
  <si>
    <t>Fagor用プログラム</t>
    <rPh sb="5" eb="6">
      <t/>
    </rPh>
    <phoneticPr fontId="4"/>
  </si>
  <si>
    <t>マザック用プログラム</t>
    <rPh sb="4" eb="5">
      <t/>
    </rPh>
    <phoneticPr fontId="4"/>
  </si>
  <si>
    <t>ねじ切り</t>
    <rPh sb="2" eb="3">
      <t/>
    </rPh>
    <phoneticPr fontId="4"/>
  </si>
  <si>
    <t>ご使用前によくお読み下さい！</t>
    <rPh sb="1" eb="3">
      <t/>
    </rPh>
    <rPh sb="3" eb="4">
      <t/>
    </rPh>
    <rPh sb="8" eb="9">
      <t/>
    </rPh>
    <phoneticPr fontId="4"/>
  </si>
  <si>
    <t>日本語 (japanska)</t>
  </si>
  <si>
    <t>日本語</t>
  </si>
  <si>
    <t>Geef de diameter van de frees aan in veld nr.5. Registreer de snijlengte van de wisselplaat in veldnr. 6 en geef in veld nr.7 het aantal snijkanten aan. Indien noodzakelijk, zal het programma de draad in meerdere axiale doorgangen snijden.</t>
  </si>
  <si>
    <t>O diâmetro da fresa é onde o diâmetro é maior. Por isso, ao se digitar o diâmetro, deve ser no lugar onde a parte da fresa que tem maior diâmetro começa a trabalhar a peça.</t>
  </si>
  <si>
    <t>volta</t>
  </si>
  <si>
    <t>Fz = avance/lábio (mm/dente)</t>
  </si>
  <si>
    <t>T = tid for å frese gjengen ( sekunder)</t>
  </si>
  <si>
    <t>CNC program for fanuc</t>
  </si>
  <si>
    <t>Støpejern, seigjern, aducergods, &lt;700N/mm2</t>
  </si>
  <si>
    <t xml:space="preserve"> L IZ+</t>
  </si>
  <si>
    <t xml:space="preserve"> L IX</t>
  </si>
  <si>
    <t xml:space="preserve"> TOOL CALL 1 Z S</t>
  </si>
  <si>
    <t xml:space="preserve"> L M3</t>
  </si>
  <si>
    <t xml:space="preserve"> L IZ</t>
  </si>
  <si>
    <t xml:space="preserve"> L IX+</t>
  </si>
  <si>
    <t xml:space="preserve"> CC IX+0 IY+</t>
  </si>
  <si>
    <t xml:space="preserve"> CP IPA+90 IZ+</t>
  </si>
  <si>
    <t xml:space="preserve"> CC IX</t>
  </si>
  <si>
    <t xml:space="preserve"> CP IPA+360 IZ+</t>
  </si>
  <si>
    <t>CNC program til Heidenhain</t>
  </si>
  <si>
    <t>Les før bruk</t>
  </si>
  <si>
    <t>Hvordanman bruker programmet</t>
  </si>
  <si>
    <r>
      <t>焼き入れ鋼</t>
    </r>
    <r>
      <rPr>
        <sz val="9"/>
        <rFont val="Verdana"/>
        <family val="2"/>
      </rPr>
      <t>, &lt; 55 HRC</t>
    </r>
    <rPh sb="0" eb="1">
      <t/>
    </rPh>
    <phoneticPr fontId="4"/>
  </si>
  <si>
    <r>
      <t>焼き入れ鋼</t>
    </r>
    <r>
      <rPr>
        <sz val="9"/>
        <rFont val="Verdana"/>
        <family val="2"/>
      </rPr>
      <t>, &lt; 65 HRC</t>
    </r>
    <r>
      <rPr>
        <b/>
        <sz val="10"/>
        <rFont val="Verdana"/>
        <family val="2"/>
      </rPr>
      <t/>
    </r>
    <rPh sb="0" eb="1">
      <t/>
    </rPh>
    <phoneticPr fontId="4"/>
  </si>
  <si>
    <t>鋳鉄、グラファイト薄板, &lt; 500 N/mm2</t>
    <rPh sb="0" eb="2">
      <t/>
    </rPh>
    <rPh sb="9" eb="11">
      <t/>
    </rPh>
    <phoneticPr fontId="4"/>
  </si>
  <si>
    <t>鋳鉄、グラファイト薄板、 &lt; 1000 N/mm2</t>
    <rPh sb="0" eb="2">
      <t/>
    </rPh>
    <rPh sb="9" eb="11">
      <t/>
    </rPh>
    <phoneticPr fontId="4"/>
  </si>
  <si>
    <t>ダクタイル鋳鉄、（マレーブル）, &lt; 700 N/mm2</t>
    <rPh sb="5" eb="7">
      <t/>
    </rPh>
    <phoneticPr fontId="4"/>
  </si>
  <si>
    <t>銅、真鍮、青銅, &lt; 700 N/mm2</t>
    <rPh sb="0" eb="1">
      <t/>
    </rPh>
    <rPh sb="2" eb="4">
      <t/>
    </rPh>
    <rPh sb="5" eb="7">
      <t/>
    </rPh>
    <phoneticPr fontId="4"/>
  </si>
  <si>
    <t>銅、高抗張力青銅, &lt; 1500 N/mm2</t>
    <rPh sb="0" eb="1">
      <t/>
    </rPh>
    <rPh sb="2" eb="3">
      <t/>
    </rPh>
    <rPh sb="3" eb="6">
      <t/>
    </rPh>
    <rPh sb="6" eb="8">
      <t/>
    </rPh>
    <phoneticPr fontId="4"/>
  </si>
  <si>
    <t>アルミ</t>
    <phoneticPr fontId="4"/>
  </si>
  <si>
    <t>ステンレス鋼（フェライト系、オーステナイト系）</t>
    <rPh sb="5" eb="6">
      <t/>
    </rPh>
    <rPh sb="12" eb="13">
      <t/>
    </rPh>
    <rPh sb="21" eb="22">
      <t/>
    </rPh>
    <phoneticPr fontId="4"/>
  </si>
  <si>
    <t>チタン, &lt; 700 N/mm2</t>
    <phoneticPr fontId="4"/>
  </si>
  <si>
    <t>チタン合金, &lt; 900 N/mm2</t>
    <rPh sb="3" eb="5">
      <t/>
    </rPh>
    <phoneticPr fontId="4"/>
  </si>
  <si>
    <t>チタン合金, &lt; 1250N/mm2</t>
    <rPh sb="3" eb="5">
      <t/>
    </rPh>
    <phoneticPr fontId="4"/>
  </si>
  <si>
    <t>ニッケル, &lt; 500 N/mm2</t>
    <phoneticPr fontId="4"/>
  </si>
  <si>
    <t>ニッケル合金、 &lt; 900 N/mm2</t>
    <rPh sb="4" eb="6">
      <t/>
    </rPh>
    <phoneticPr fontId="4"/>
  </si>
  <si>
    <t>Velg språk nederst på høyre side for deretter å gjøre ditt valg på i menyen, fyll i de fire første rutene. Med denne informasjonen kommer programmet i den siste menyen å gi deg forslag til et passende verktøy. Når du har valgt verktøy vises informasjon om verktøyet samt anbefalte skjærdata og den tid det tar å gjøre gjengen. I tillegg vises CNC programmet. Dette kan kopieres og limes inn på din CNC fil. De øvrige 6 rutene fylles ut hvis du ikke aksepterer informasjonen.</t>
  </si>
  <si>
    <t>Verktøy kompensering</t>
  </si>
  <si>
    <t>Пожалуйста, прочитайте перед использованием!</t>
  </si>
  <si>
    <t>UN – унифицированный</t>
  </si>
  <si>
    <t>G – трубная резьба Витворта</t>
  </si>
  <si>
    <t>BSPT – коническая трубная резьба</t>
  </si>
  <si>
    <t>NPT –  коническая трубная резьба</t>
  </si>
  <si>
    <t>アルミ合金, &lt; 0.5% Si</t>
    <rPh sb="3" eb="5">
      <t/>
    </rPh>
    <phoneticPr fontId="4"/>
  </si>
  <si>
    <t>アルミ合金, &lt; 10% Si</t>
    <rPh sb="3" eb="5">
      <t/>
    </rPh>
    <phoneticPr fontId="4"/>
  </si>
  <si>
    <t>programa CNC para Heidenhain</t>
  </si>
  <si>
    <t>CNC programme pour Heidnehain</t>
  </si>
  <si>
    <t>Programma CNC per Heidenhain</t>
  </si>
  <si>
    <t>CNC programma voor Heidenhain</t>
  </si>
  <si>
    <t xml:space="preserve"> Program CNC dla Heidenhaina</t>
  </si>
  <si>
    <t>CNC programa para Heidenhain</t>
  </si>
  <si>
    <t>CNC ohjelma Haidenhainille</t>
  </si>
  <si>
    <t>CNC program för Heidenhain</t>
  </si>
  <si>
    <t>Программа ЧПУ для Heidenhain</t>
  </si>
  <si>
    <t>Program CNC pentru Heidenhain</t>
  </si>
  <si>
    <t>NPTF - Drobnozwojowy, gwint do rur</t>
  </si>
  <si>
    <t>NPSP - Gwint do rur</t>
  </si>
  <si>
    <t>PG - Gwint do rurek instalacyjnych</t>
  </si>
  <si>
    <t>Fresens skjærdiameter som angis er ved gjengen nærmest skaftet. Derfor må gjengens diameter som angis være der denne delen av verktøyet går i inngrep.</t>
  </si>
  <si>
    <t>Med dette programmet anvendes verkøykompensering kun for mindre justeringer. Dette elimenerer problem som kan oppstå når man anvender radiekompensering på korte forflyttninger. Angi derfor en verdi nære null for fresens diameter i verkøybiblioteket i styresystemet.</t>
  </si>
  <si>
    <t>Riktig gjengediameter direkte</t>
  </si>
  <si>
    <t>Spesialverktøy</t>
  </si>
  <si>
    <t>Verktøy med skaftreduksjon</t>
  </si>
  <si>
    <t>112, 1 pass, flera pass axiellt, Heidenhain</t>
  </si>
  <si>
    <t>32, 3 pass Heidenhain</t>
  </si>
  <si>
    <t>22, 2 pass Heidenhain</t>
  </si>
  <si>
    <t>12, 1 pass Heidenhain</t>
  </si>
  <si>
    <t xml:space="preserve"> FN 0: Q1 =+</t>
  </si>
  <si>
    <t xml:space="preserve"> LBL 101</t>
  </si>
  <si>
    <t xml:space="preserve"> FN 1: Q2 =+Q2 + +1</t>
  </si>
  <si>
    <t xml:space="preserve"> FN 12: IF +Q2 LT +Q1 GOTO LBL 101</t>
  </si>
  <si>
    <t>Om verktøyets skjærlengde er kortere enn gjengelengden kommer programmet automatisk å gjøre gjengen i nødvendig antall aksielle kutt.</t>
  </si>
  <si>
    <t>Materiais especiais</t>
  </si>
  <si>
    <t>Нержавеющая сталь, аустенитная</t>
  </si>
  <si>
    <t>Нержавеющая сталь, ферритная и аустенитная</t>
  </si>
  <si>
    <t>Титан, беспримесный, &lt; 700 Н/мм2</t>
  </si>
  <si>
    <t>Титан, сплавной, &lt; 900 Н/мм2</t>
  </si>
  <si>
    <t>Титан, сплавной, &lt; 1250 Н/мм2</t>
  </si>
  <si>
    <t>Никель, беспримесный, &lt; 500 Н/мм2</t>
  </si>
  <si>
    <t>Никель, сплавной, &lt; 900 Н/мм2</t>
  </si>
  <si>
    <t>Никель, сплавной, &lt; 1250 Н/мм2</t>
  </si>
  <si>
    <t>Медь, беспримесная, &lt; 350 Н/мм2</t>
  </si>
  <si>
    <t>内径ねじ切り（マシニングセンタ）</t>
    <rPh sb="0" eb="2">
      <t/>
    </rPh>
    <rPh sb="4" eb="5">
      <t/>
    </rPh>
    <phoneticPr fontId="4"/>
  </si>
  <si>
    <t>P = шаг (витков на дюйм)</t>
  </si>
  <si>
    <t>L = длина резьбы (мм)</t>
  </si>
  <si>
    <t>S = безопасное расстояние (мм)</t>
  </si>
  <si>
    <t>Rustfritt stål, ferrittisk</t>
  </si>
  <si>
    <t>Titan, ulegert, &lt;700N/mm2</t>
  </si>
  <si>
    <t>Titan, legert, &lt;900N/mm2</t>
  </si>
  <si>
    <t>Titan, legert, &lt;1250N/mm2</t>
  </si>
  <si>
    <t>三菱用プログラム</t>
    <rPh sb="0" eb="2">
      <t/>
    </rPh>
    <rPh sb="2" eb="3">
      <t/>
    </rPh>
    <phoneticPr fontId="4"/>
  </si>
  <si>
    <t>内径ねじ切り（旋盤）</t>
    <rPh sb="0" eb="2">
      <t/>
    </rPh>
    <rPh sb="4" eb="5">
      <t/>
    </rPh>
    <rPh sb="7" eb="8">
      <t/>
    </rPh>
    <rPh sb="8" eb="9">
      <t/>
    </rPh>
    <phoneticPr fontId="4"/>
  </si>
  <si>
    <t>ファナック</t>
    <phoneticPr fontId="4"/>
  </si>
  <si>
    <t>ハイデンハイン</t>
    <phoneticPr fontId="4"/>
  </si>
  <si>
    <t>シーメンス</t>
    <phoneticPr fontId="4"/>
  </si>
  <si>
    <t>マザック</t>
    <phoneticPr fontId="4"/>
  </si>
  <si>
    <t>三菱</t>
    <phoneticPr fontId="4"/>
  </si>
  <si>
    <t>メートルねじ</t>
    <phoneticPr fontId="4"/>
  </si>
  <si>
    <t>ユニファイねじ</t>
    <phoneticPr fontId="4"/>
  </si>
  <si>
    <t>ウィットワースねじ</t>
    <phoneticPr fontId="4"/>
  </si>
  <si>
    <t>管用テーパねじ（ＢＳＰＴ）</t>
    <rPh sb="0" eb="2">
      <t/>
    </rPh>
    <phoneticPr fontId="4"/>
  </si>
  <si>
    <t>ナショナル管用テーパねじ（ＮＰＴ）</t>
    <rPh sb="5" eb="7">
      <t/>
    </rPh>
    <phoneticPr fontId="4"/>
  </si>
  <si>
    <t>ＮＰＴＦドライシールねじ</t>
    <phoneticPr fontId="4"/>
  </si>
  <si>
    <t>Fresas cônicas</t>
  </si>
  <si>
    <t>Fz = mating/tand (mm/tand)</t>
  </si>
  <si>
    <t>antall kutt, radielt (max 3)</t>
  </si>
  <si>
    <t>antall kutt aksielt</t>
  </si>
  <si>
    <t>N = o/min</t>
  </si>
  <si>
    <t>FD = mating ved gjengens Ø (mm/min)</t>
  </si>
  <si>
    <t>Fd = mating in fresens senter ( mm/min)</t>
  </si>
  <si>
    <t>Gjengefreser med vendeskjær</t>
  </si>
  <si>
    <t>Koniske gjenger</t>
  </si>
  <si>
    <t>CNC Programm für Heidenhain</t>
  </si>
  <si>
    <t>Støpejern, seigjern, aducergods, &lt;1000N/mm2</t>
  </si>
  <si>
    <t>Rustfritt automatstål</t>
  </si>
  <si>
    <t>銅、 &lt; 350 N/mm2</t>
    <rPh sb="0" eb="1">
      <t/>
    </rPh>
    <phoneticPr fontId="4"/>
  </si>
  <si>
    <t>Støpejern, &lt;1000N/mm2</t>
  </si>
  <si>
    <t>Rustfritt stål, austenittisk</t>
  </si>
  <si>
    <t>한국어</t>
  </si>
  <si>
    <t>한국어 (KOREANSKA)</t>
  </si>
  <si>
    <t>ダクタイル鋳鉄、（マレーブル）, &lt; 1000 N/mm2</t>
    <rPh sb="5" eb="7">
      <t/>
    </rPh>
    <phoneticPr fontId="4"/>
  </si>
  <si>
    <t>ステンレス鋼、快削系</t>
    <rPh sb="5" eb="6">
      <t/>
    </rPh>
    <rPh sb="7" eb="8">
      <t/>
    </rPh>
    <rPh sb="8" eb="9">
      <t/>
    </rPh>
    <rPh sb="9" eb="10">
      <t/>
    </rPh>
    <phoneticPr fontId="4"/>
  </si>
  <si>
    <t>ステンレス鋼（オーステナイト系）</t>
    <rPh sb="5" eb="6">
      <t/>
    </rPh>
    <rPh sb="14" eb="15">
      <t/>
    </rPh>
    <phoneticPr fontId="4"/>
  </si>
  <si>
    <t>10012, 1 pass, konisk, Heidenhain</t>
  </si>
  <si>
    <t xml:space="preserve"> IY+</t>
  </si>
  <si>
    <t xml:space="preserve"> CC IX+</t>
  </si>
  <si>
    <t>ニッケル合金、 &lt; 1250 N/mm3</t>
    <rPh sb="4" eb="6">
      <t/>
    </rPh>
    <phoneticPr fontId="4"/>
  </si>
  <si>
    <t>The program don´t accept your choice.</t>
  </si>
  <si>
    <t>Please, test with other values.</t>
  </si>
  <si>
    <t>アルミ合金, &gt; 10% Si</t>
    <rPh sb="3" eb="5">
      <t/>
    </rPh>
    <phoneticPr fontId="4"/>
  </si>
  <si>
    <t>インコネル718</t>
    <phoneticPr fontId="4"/>
  </si>
  <si>
    <t>グラファイト</t>
    <phoneticPr fontId="4"/>
  </si>
  <si>
    <t>Ｄ＝ねじ径（㎜）</t>
    <rPh sb="4" eb="5">
      <t/>
    </rPh>
    <phoneticPr fontId="4"/>
  </si>
  <si>
    <t>Ｐ＝ピッチ（㎜）</t>
    <phoneticPr fontId="4"/>
  </si>
  <si>
    <t>Ｐ＝ピッチ（山数）</t>
    <rPh sb="6" eb="7">
      <t/>
    </rPh>
    <rPh sb="7" eb="8">
      <t/>
    </rPh>
    <phoneticPr fontId="4"/>
  </si>
  <si>
    <t>Ｌ＝ねじ長さ（㎜）</t>
    <rPh sb="4" eb="5">
      <t/>
    </rPh>
    <phoneticPr fontId="4"/>
  </si>
  <si>
    <r>
      <t>d=</t>
    </r>
    <r>
      <rPr>
        <sz val="9"/>
        <rFont val="ＭＳ Ｐゴシック"/>
        <family val="3"/>
        <charset val="128"/>
      </rPr>
      <t>カッタ径（㎜）</t>
    </r>
    <rPh sb="5" eb="6">
      <t/>
    </rPh>
    <phoneticPr fontId="4"/>
  </si>
  <si>
    <r>
      <t>l=</t>
    </r>
    <r>
      <rPr>
        <sz val="9"/>
        <rFont val="ＭＳ Ｐゴシック"/>
        <family val="3"/>
        <charset val="128"/>
      </rPr>
      <t>有効刃長（㎜）</t>
    </r>
    <rPh sb="2" eb="4">
      <t/>
    </rPh>
    <rPh sb="4" eb="5">
      <t/>
    </rPh>
    <rPh sb="5" eb="6">
      <t/>
    </rPh>
    <phoneticPr fontId="4"/>
  </si>
  <si>
    <r>
      <t>z=</t>
    </r>
    <r>
      <rPr>
        <sz val="9"/>
        <rFont val="ＭＳ Ｐゴシック"/>
        <family val="3"/>
        <charset val="128"/>
      </rPr>
      <t>刃数</t>
    </r>
    <rPh sb="2" eb="3">
      <t/>
    </rPh>
    <rPh sb="3" eb="4">
      <t/>
    </rPh>
    <phoneticPr fontId="4"/>
  </si>
  <si>
    <r>
      <t>V=</t>
    </r>
    <r>
      <rPr>
        <sz val="9"/>
        <rFont val="ＭＳ Ｐゴシック"/>
        <family val="3"/>
        <charset val="128"/>
      </rPr>
      <t>切削速度</t>
    </r>
    <r>
      <rPr>
        <sz val="9"/>
        <rFont val="Verdana"/>
        <family val="2"/>
      </rPr>
      <t>(m/min)</t>
    </r>
    <rPh sb="2" eb="4">
      <t/>
    </rPh>
    <rPh sb="4" eb="6">
      <t/>
    </rPh>
    <phoneticPr fontId="4"/>
  </si>
  <si>
    <r>
      <t>Fz=</t>
    </r>
    <r>
      <rPr>
        <sz val="9"/>
        <rFont val="ＭＳ Ｐゴシック"/>
        <family val="3"/>
        <charset val="128"/>
      </rPr>
      <t>一刃当たり送り（</t>
    </r>
    <r>
      <rPr>
        <sz val="9"/>
        <rFont val="Verdana"/>
        <family val="2"/>
      </rPr>
      <t>mm/</t>
    </r>
    <r>
      <rPr>
        <sz val="9"/>
        <rFont val="ＭＳ Ｐゴシック"/>
        <family val="3"/>
        <charset val="128"/>
      </rPr>
      <t>刃）</t>
    </r>
    <rPh sb="3" eb="4">
      <t/>
    </rPh>
    <rPh sb="4" eb="5">
      <t/>
    </rPh>
    <rPh sb="5" eb="6">
      <t/>
    </rPh>
    <rPh sb="8" eb="9">
      <t/>
    </rPh>
    <rPh sb="14" eb="15">
      <t/>
    </rPh>
    <phoneticPr fontId="4"/>
  </si>
  <si>
    <t>パス回数、アキシャル方向</t>
    <rPh sb="2" eb="3">
      <t/>
    </rPh>
    <rPh sb="3" eb="4">
      <t/>
    </rPh>
    <rPh sb="10" eb="12">
      <t/>
    </rPh>
    <phoneticPr fontId="4"/>
  </si>
  <si>
    <r>
      <t>N=</t>
    </r>
    <r>
      <rPr>
        <sz val="9"/>
        <rFont val="ＭＳ Ｐゴシック"/>
        <family val="3"/>
        <charset val="128"/>
      </rPr>
      <t>回転数（ｒｐｍ）</t>
    </r>
    <rPh sb="2" eb="4">
      <t/>
    </rPh>
    <rPh sb="4" eb="5">
      <t/>
    </rPh>
    <phoneticPr fontId="4"/>
  </si>
  <si>
    <r>
      <t>FD=</t>
    </r>
    <r>
      <rPr>
        <sz val="9"/>
        <rFont val="ＭＳ Ｐゴシック"/>
        <family val="3"/>
        <charset val="128"/>
      </rPr>
      <t>ねじ径の送り（ｍｍ</t>
    </r>
    <r>
      <rPr>
        <sz val="9"/>
        <rFont val="Verdana"/>
        <family val="2"/>
      </rPr>
      <t>)</t>
    </r>
    <rPh sb="5" eb="6">
      <t/>
    </rPh>
    <rPh sb="7" eb="8">
      <t/>
    </rPh>
    <phoneticPr fontId="4"/>
  </si>
  <si>
    <t>G - Whitworth putkikierre</t>
  </si>
  <si>
    <t>M - Metrinen</t>
  </si>
  <si>
    <t>UN - Kierre</t>
  </si>
  <si>
    <t>BSPT - kartioputkikierre</t>
  </si>
  <si>
    <t>NPT - kartioputkikierre</t>
  </si>
  <si>
    <t>NPTF - dryseal, kartioputkikierre</t>
  </si>
  <si>
    <t>NPSF - putkikierre</t>
  </si>
  <si>
    <t>PG - Panssariputkikierre</t>
  </si>
  <si>
    <t>M - Metryczne</t>
  </si>
  <si>
    <t>UN - Zunifikowany</t>
  </si>
  <si>
    <t xml:space="preserve">G - Gwint do rur Whitworth'a </t>
  </si>
  <si>
    <t>BSPT - Stożkowy gwint do rur</t>
  </si>
  <si>
    <t>NPT - Stożkowy gwint do rur</t>
  </si>
  <si>
    <t>CNC programm Heidenhain</t>
  </si>
  <si>
    <t>CNC program for Heidenhain</t>
  </si>
  <si>
    <t>Om du velger et standardverktøy met et eller to skjær, type NM, kommer programmet automatisk til å lage en syklus som gjør en spiral til gjengen er ferdig. Om du vil skape en lignende syklus med et annet verktøy angir du stigningen som fresens skjærlengde i rute 6.</t>
  </si>
  <si>
    <t>Skriv fresekroppens skjærdiameter i rute 5, angi vendeskjærets skjærkantlengde i rute 6 og angi antall skjær i rute 7. Om behov foreligger kommer programmet automatisk å lage gjengen aksielt i flere kutt.</t>
  </si>
  <si>
    <t>Heidenhain</t>
  </si>
  <si>
    <t xml:space="preserve"> RL F</t>
  </si>
  <si>
    <t xml:space="preserve"> IY+0</t>
  </si>
  <si>
    <t>Nikkel, ulegert, &lt;500N/mm2</t>
  </si>
  <si>
    <t>Nikkel, legert, &lt;900N/mm2</t>
  </si>
  <si>
    <t>Nikkel, legert, &lt;1250N/mm2</t>
  </si>
  <si>
    <t>Kobber, ulegert, &lt;350N/mm2</t>
  </si>
  <si>
    <t>Kobber, messing, bronse, &lt;700N/mm2</t>
  </si>
  <si>
    <t>Kobber, bronse, høy bruddstyrke, &lt;1500N/mm2</t>
  </si>
  <si>
    <t>Aluminium, ulegert</t>
  </si>
  <si>
    <t>Aluminium, legert, &lt;0,5% Si</t>
  </si>
  <si>
    <t>Aluminium, legert, &lt;10%Si</t>
  </si>
  <si>
    <t>Aluminium, legert, &gt;10%Si</t>
  </si>
  <si>
    <t>Grafitt</t>
  </si>
  <si>
    <t>D = gjengens diameter</t>
  </si>
  <si>
    <t xml:space="preserve">P = stigning (mm) </t>
  </si>
  <si>
    <t>L = gjengens lengde (mm)</t>
  </si>
  <si>
    <t>S = sikkerhetsavstand (mm)</t>
  </si>
  <si>
    <t>d = fresens skjærdiameter (mm)</t>
  </si>
  <si>
    <t>l = fresens skjærlengde (mm)</t>
  </si>
  <si>
    <t>z = antall skjær</t>
  </si>
  <si>
    <t>V = skjærhastighet (m/min)</t>
  </si>
  <si>
    <t>Ändra antal artikelpositioner</t>
  </si>
  <si>
    <t>OBS!</t>
  </si>
  <si>
    <t>Förläng följande kolumner:</t>
  </si>
  <si>
    <t>Magyar</t>
  </si>
  <si>
    <t>Euskera</t>
  </si>
  <si>
    <t>Barrukoa fresatzaile batengan hariztatua</t>
  </si>
  <si>
    <t>Barrukoa tornu batean hariztatua</t>
  </si>
  <si>
    <t>Heidenhein</t>
  </si>
  <si>
    <t>M - Metrikoa</t>
  </si>
  <si>
    <t>G - tutuaren harizta Whithworth</t>
  </si>
  <si>
    <t>BSPT - tutuaren harizta konikoa</t>
  </si>
  <si>
    <t>NPT - tutuaren harizta konikoa</t>
  </si>
  <si>
    <t>NPTF - tutuaren harizta konikoa, Dryseal</t>
  </si>
  <si>
    <t>NPSF - tutuaren harizta</t>
  </si>
  <si>
    <t>PG - Pansarrohrgewinde</t>
  </si>
  <si>
    <t>Altzairu, Karbono gutxi, &lt; 0,25% C, &lt; 400 N/mm2</t>
  </si>
  <si>
    <t>Altzairu, Karbono erdi, &lt; 0,55% C, &lt; 700 N/mm2</t>
  </si>
  <si>
    <t>Altzairu, Karbono altu, &lt; 0,85% C, &lt; 850 N/mm2</t>
  </si>
  <si>
    <t>Altzairu, Aleazio baxu, &lt; 850 N/mm2</t>
  </si>
  <si>
    <t>Altzairu, Aleazio altu, &lt; 1200 N/mm2</t>
  </si>
  <si>
    <t>Altzairu, Epeldua, &lt; 45 HRC</t>
  </si>
  <si>
    <t>Altzairu, Epeldua, &lt; 55 HRC</t>
  </si>
  <si>
    <t>Altzairu, Epeldua, &lt; 65 HRC</t>
  </si>
  <si>
    <t>Burdin urtzea, Grafito laminarra, &lt; 500 N/mm2</t>
  </si>
  <si>
    <t>Burdin urtzea, Grafito laminarra, &lt; 1000 N/mm2</t>
  </si>
  <si>
    <t>Burdin urtzea, Esferoidal grafitoa, xaflakorra, &lt; 700 N/mm2</t>
  </si>
  <si>
    <t>Burdin urtzea, Esferoidal grafitoa, xaflakorra, &lt; 1000 N/mm2</t>
  </si>
  <si>
    <t xml:space="preserve">Altzairu herdoilgaitza, </t>
  </si>
  <si>
    <t>Altzairu herdoilgaitza, Austeniticoa</t>
  </si>
  <si>
    <t>Altzairu herdoilgaitza, Ferritico eta Austeniticoa</t>
  </si>
  <si>
    <t>Titanio, Aleatuta ez, &lt; 700 N/mm2</t>
  </si>
  <si>
    <t>Titanio, Aleatuta, &lt; 900 N/mm2</t>
  </si>
  <si>
    <t>Titanio, Aleatuta, &lt; 1250 N/mm2</t>
  </si>
  <si>
    <t>Nikel, Aleatuta ez, &lt; 500 N/mm2</t>
  </si>
  <si>
    <t>Nikel, Aleatuta, &lt; 900 N/mm2</t>
  </si>
  <si>
    <t>Nikel, Aleatuta, &lt; 1250 N/mm2</t>
  </si>
  <si>
    <t>Kobre, Aleatuta ez, &lt; 350 N/mm2</t>
  </si>
  <si>
    <t>Kobre, Letoia, Brontzea, &lt; 700 N/mm2</t>
  </si>
  <si>
    <t>Kobre, Erresistentzia altuko brontzea</t>
  </si>
  <si>
    <t>Aluminio, Aleatuta ez</t>
  </si>
  <si>
    <t>Aluminio, Aleatuta, &lt; 0,5% Si</t>
  </si>
  <si>
    <t>Aluminio, Aleatuta, &lt; 10% Si</t>
  </si>
  <si>
    <t>Aluminio, Aleatuta, &gt; 10% Si</t>
  </si>
  <si>
    <t>D = uztaiaren diametroa (mm)</t>
  </si>
  <si>
    <t>P = pasu (mm)</t>
  </si>
  <si>
    <t>P = pasu (TPI)</t>
  </si>
  <si>
    <t>L = uztaiaren longitudea (mm)</t>
  </si>
  <si>
    <t>S = Segurtasunaren distantzia (mm)</t>
  </si>
  <si>
    <t>d = Gortearen diametroa (mm)</t>
  </si>
  <si>
    <t>l = Gortearen longitudea (mm)</t>
  </si>
  <si>
    <t>z = Ebaki zenbakia</t>
  </si>
  <si>
    <t>V = Ebaki abiadura (m/min)</t>
  </si>
  <si>
    <t>Fz = aurrerapauso/hortza (mm/hortza)</t>
  </si>
  <si>
    <t>Iragaiteen zenbakia, erradiala (max 3)</t>
  </si>
  <si>
    <t>Iragaiteen zenbakia, axiala</t>
  </si>
  <si>
    <t>N = biraren abiadura (rpm)</t>
  </si>
  <si>
    <t>FD = uztaiako diametroan aurrerapausoa (mm/min)</t>
  </si>
  <si>
    <t>Fd = fresako erdian aurrerapausoa (mm/min)</t>
  </si>
  <si>
    <t>T = uztaia fresatu denbora (segunduak)</t>
  </si>
  <si>
    <t>CNC program for Fanuc-entzat</t>
  </si>
  <si>
    <t>CNC program for Heidenhein-entzat</t>
  </si>
  <si>
    <t>CNC program for Siemens-entzat</t>
  </si>
  <si>
    <t>CNC program for Num-entzat</t>
  </si>
  <si>
    <t>CNC program for Fagorrentzat</t>
  </si>
  <si>
    <t>CNC program for Mazak-entzat</t>
  </si>
  <si>
    <t>CNC program for Mitsubishi-entzat</t>
  </si>
  <si>
    <t>Uztaien fresatua</t>
  </si>
  <si>
    <t>Mesedez, erabili baino lehen irakurri!</t>
  </si>
  <si>
    <t>Belső menetmarás megmunkáló központon</t>
  </si>
  <si>
    <t>Belső menetmarás forgószerszámos esztergán</t>
  </si>
  <si>
    <t>M - Metrikus</t>
  </si>
  <si>
    <t>UN - Amerikai menet</t>
  </si>
  <si>
    <t>G - Whithworth csőmenet</t>
  </si>
  <si>
    <t>BSPT - Kúpos menet</t>
  </si>
  <si>
    <t>NPT - Kúpos menet</t>
  </si>
  <si>
    <t>NPTF - Kúpos tömítő menet</t>
  </si>
  <si>
    <t>NPSF - Csőmenet</t>
  </si>
  <si>
    <t>PG - Páncélcsőmenet</t>
  </si>
  <si>
    <t>Acél, széntartalom &lt; 0,25%, &lt; 400 N/mm2</t>
  </si>
  <si>
    <t>Acél, széntartalom &lt; 0,55%, &lt; 700 N/mm2</t>
  </si>
  <si>
    <t>Acél, széntartalom &lt; 0,85%, &lt; 850 N/mm2</t>
  </si>
  <si>
    <t>Acél, gyengén ötvözött, &lt; 850 N/mm2</t>
  </si>
  <si>
    <t>Acél, erősen ötvözött, &lt; 1200 N/mm2</t>
  </si>
  <si>
    <t>Acél, edzett, &lt; 45 HRC</t>
  </si>
  <si>
    <t>Acél, edzett, &lt; 55 HRC</t>
  </si>
  <si>
    <t>Acél, edzett, &lt; 65 HRC</t>
  </si>
  <si>
    <t>Öntöttvas, lemezgrafitos, &lt; 500 N/mm2</t>
  </si>
  <si>
    <t>Öntöttvas, lemezgrafitos, &lt; 1000 N/mm2</t>
  </si>
  <si>
    <t>Öntöttvas, gömbgrafitos, &lt; 700 N/mm2</t>
  </si>
  <si>
    <t>Öntöttvas, gömbgrafitos, &lt; 1000 N/mm2</t>
  </si>
  <si>
    <t>Korrózióálló acél, jól forgácsolható</t>
  </si>
  <si>
    <t>Korrózióálló acél, ausztenites</t>
  </si>
  <si>
    <t>Korrózióálló acél, ferrites és ausztenites</t>
  </si>
  <si>
    <t>Titán, ötvözetlen, &lt; 700 N/mm2</t>
  </si>
  <si>
    <t>Titán, ötvözött, &lt; 900 N/mm2</t>
  </si>
  <si>
    <t>Titán, ötvözött, &lt; 1250 N/mm2</t>
  </si>
  <si>
    <t>Nikkel, ötvözetlen, &lt; 500 N/mm2</t>
  </si>
  <si>
    <t>Nikkel, ötvözött, &lt; 900 N/mm2</t>
  </si>
  <si>
    <t>Nikkel, ötvözött, &lt; 1250 N/mm2</t>
  </si>
  <si>
    <t>Réz, ötvözetlen, &lt; 350 N/mm2</t>
  </si>
  <si>
    <t>Réz, sárgaréz, bronz, &lt; 700 N/mm2</t>
  </si>
  <si>
    <t>Réz, nagyszilárdságú bronz, &lt; 1500 N/mm2</t>
  </si>
  <si>
    <t>Alumínium, ötvözetlen</t>
  </si>
  <si>
    <t>Alumínium, ötvözött, &lt; 0.5% Si</t>
  </si>
  <si>
    <t>Alumínium, ötvözött, &lt; 10% Si</t>
  </si>
  <si>
    <t>Alumínium, ötvözött, &gt; 10% Si</t>
  </si>
  <si>
    <t>D = menet átmérő (mm)</t>
  </si>
  <si>
    <t>P = menetemelkedés (mm)</t>
  </si>
  <si>
    <t>P = menetemelkedés (TPI)</t>
  </si>
  <si>
    <t>L =menet hossz (mm)</t>
  </si>
  <si>
    <t>S = biztonsági távolság (mm)</t>
  </si>
  <si>
    <t>d = maró átmérő (mm)</t>
  </si>
  <si>
    <t>l = maró él hossz (mm)</t>
  </si>
  <si>
    <t>z = maró fogszám</t>
  </si>
  <si>
    <t>V = forgácsoló sebesség (m/min)</t>
  </si>
  <si>
    <t>Fz = fogankénti előtolás (mm/fog)</t>
  </si>
  <si>
    <t>Fogások száma, radiális (max 3)</t>
  </si>
  <si>
    <t>Fogások száma, axiális</t>
  </si>
  <si>
    <t>N = orsó fordulatszám (fordulat/min)</t>
  </si>
  <si>
    <t>FD = előtolás a menetátmérőnél (mm/min)</t>
  </si>
  <si>
    <t>Fd = előtolás a maró központjánál (mm/min)</t>
  </si>
  <si>
    <t>T = a menetmarás ideje (sec)</t>
  </si>
  <si>
    <t>Fanuc CNC program</t>
  </si>
  <si>
    <t>Heidenhein CNC program</t>
  </si>
  <si>
    <t>Siemens CNC program</t>
  </si>
  <si>
    <t>Num CNC program</t>
  </si>
  <si>
    <t>Fagor CNC program</t>
  </si>
  <si>
    <t>Mazak CNC program</t>
  </si>
  <si>
    <t>Mitsubishi CNC program</t>
  </si>
  <si>
    <t>Menetmarás</t>
  </si>
  <si>
    <t>Használat előtt kérjük elolvasni!</t>
  </si>
  <si>
    <t>Kontuz !</t>
  </si>
  <si>
    <t>Nola erabiltzen du programa hau?</t>
  </si>
  <si>
    <t>Hizkuntza aukeratzen du behean eskuineko aldean eta gero zure aukerak aukeratu ahal dituzu betileetan eta lehen lau koadrotan. Informazio honekin programa erreminta egoki desberdinak eskaintzera doakizu azken betilean. Erreminta bat eligidotu duzunean, erremintaren informazioa ikusi ahal duzu, gortearen kondizioak eta Eguraldia losintxatu. Gainera programa CNC erakusten du. Eta kopiatu ahal da itsastea beste bat agiritegian gordetzen dut. Sei koadro azkenak bakarrik berriz betetzen dira ez recomdendadoa onartzea.</t>
  </si>
  <si>
    <t>Erremintaren ordaina</t>
  </si>
  <si>
    <t>Programa honekin erremintaren ordaina bakarrik akordio txikientzat erabiltzen da. Honekin gertatu ahal diren bat ordaina mugimendu laburretan erabiltzean dagoenean arazoak kanporatzera zoaz. Hori, balio bat jar ezazu hutsetik gertu marrubiaren diametroarentzat zenbakizko kontrolen bibliotekan.</t>
  </si>
  <si>
    <t>Uztaiaren probarik gabe diametro zuzena</t>
  </si>
  <si>
    <t>Erreminta bereziak</t>
  </si>
  <si>
    <t>Erreminta egon erabili zerrendan ez badago mozketaren diametroa berriz bete ahal duzu, mozketaren longitudean eta ezpainen numeroan koadroetan 5, 6 eta 7.</t>
  </si>
  <si>
    <t xml:space="preserve">Bat edo bi hortzekin erremintak (axial) </t>
  </si>
  <si>
    <t>Standard erreminta bat aukeratzen baduzu batekin edo bi hortz, mota NM, programa automatikoki sortzera doa espiral bat egiten duen uztaia amaitu arte ziklo bat. Ziklo bat iruditua egin nahi baduzu beste erreminta batekin, urratsa jar itzazu mozketaren longitudea koadroan sei.</t>
  </si>
  <si>
    <t>Gorte kurtzearekin erremintak</t>
  </si>
  <si>
    <t>Erremintak gortearen gehiago laburra longitude bat badu uztaiaren longitudea, programa automatikoki iragaite axial nahikoetan losintxatzera doa.</t>
  </si>
  <si>
    <t>Plaquitekin erremintak</t>
  </si>
  <si>
    <t>Gorputzaren mozketaren diametroa jar itzazu koadroan bost, plaquitaren mozketaren longitudea jar itzazu koadroan sei eta ezpainen numeroa jar itzazu koadroan zazpi. Beharrezkoa bada programa automatikoki egitera doa uztaia zenbait iragaite axialetan.</t>
  </si>
  <si>
    <t>Uztai konikoak</t>
  </si>
  <si>
    <t>Mozketaren diametroa gehiago dagoen kirtenetik gertu hortza izango da. Hori, uztaiaren diametroak hortz enplegatuaren bera mailari egon behar dio mozketaren diametroarentzat.</t>
  </si>
  <si>
    <t>Itzultzea</t>
  </si>
  <si>
    <t>Figyelem!</t>
  </si>
  <si>
    <t>Hogyan használjuk a programot</t>
  </si>
  <si>
    <t>Válassza ki a nyelvet a jobb alsó sarokban, állítsa be a legördülő menüket, majd töltse ki a következő négy mezőt. A szükséges információ kitöltésekor a program megajánlja az alkalmas menetmarókat. A menetmarók egyikének kiválasztása után megjelennek az ajánlott forgácsolási adatok és a menetmarás művelet ideje. Ugyancsak megjelenik a menetmarás CNC programja. A CNC program másolható és beilleszthető az Ön CNC programjába.</t>
  </si>
  <si>
    <t>Szerszám kompenzáció</t>
  </si>
  <si>
    <t>Ennél a programnál a szerszám kompenzáció csak kisebb állításokhoz használható. Ez kiküszöböli az olyan problémákat, amelyek akkor keletkeznek, ha rádiusz kompenzációt használunk kis elmozdulásoknál. Ezért egy nullához közeli értéket adjon meg maró átmérőként a vezérlés szerszám könyvtárában.</t>
  </si>
  <si>
    <t>Korrekt menet átmérő azonnal</t>
  </si>
  <si>
    <t>Különleges szerszámok</t>
  </si>
  <si>
    <t>Ha olyan szerszámot használ, amely nincs a listában, beírhatja a maró átmérőjét, hosszát és él számát az 5-7 mezőkbe.</t>
  </si>
  <si>
    <t>Egy és két profilú menetmarók</t>
  </si>
  <si>
    <t>Ha az egy vagy kétprofilú NM típusú menetmarót választja, akkor a  program automatikusan előállít egy ciklust, amely egy spirált ír le, amíg el nem készül a menet. Ha ugyanezt akarja tenni egy másik szerszámmal, akkor a menetemelkedést kell beírni a maró él hosszának helyére a 6-os mezőbe.</t>
  </si>
  <si>
    <t>Menetmarók vékony nyakkal</t>
  </si>
  <si>
    <t>A program automatikusan több axiális fogásban készíti el a menetet, ha a menetmaró éle rövidebb, mint az előírt menethossz.</t>
  </si>
  <si>
    <t>Váltólapkás menetmarók</t>
  </si>
  <si>
    <t>Adja meg a maróátmérőt az 5 jelű mezőben, a 6 jelű mezőben a lapka hosszát és a 7 jelű mezőben a lapkák számát. Szükség esetén a program automatikusan több axiális fogásban állítja elő a teljes menethosszt.</t>
  </si>
  <si>
    <t>Kúpos menetek</t>
  </si>
  <si>
    <t>A megadott maró átmérő a szárhoz közeli teljes meneten értendő. Ezért azt a menet átmérőt kell megadni, ahol a marónak ez a része dolgozik.</t>
  </si>
  <si>
    <t>vissza</t>
  </si>
  <si>
    <r>
      <t xml:space="preserve">V = </t>
    </r>
    <r>
      <rPr>
        <sz val="10"/>
        <rFont val="宋体"/>
        <charset val="134"/>
      </rPr>
      <t>切削速度</t>
    </r>
    <r>
      <rPr>
        <sz val="10"/>
        <rFont val="Arial"/>
        <family val="2"/>
      </rPr>
      <t xml:space="preserve">  (m/min)</t>
    </r>
  </si>
  <si>
    <t>OBS! Markera rad 2 och dra nedåt.</t>
  </si>
  <si>
    <t>Vid behov förläng följande kolumner:</t>
  </si>
  <si>
    <t>högerklicka och formatera kontroll</t>
  </si>
  <si>
    <t>Vid behov ändra upptagningsområde</t>
  </si>
  <si>
    <t>Česky</t>
  </si>
  <si>
    <t>Frézování vnitřních závitů v OBRÁBĚCÍM CENTRU</t>
  </si>
  <si>
    <t>Frézování vnitřních závitů v SOUSTRUHU v naháněné jednotce</t>
  </si>
  <si>
    <t>M - Metrický závit</t>
  </si>
  <si>
    <t xml:space="preserve">UN - Unifikovaný americký závit </t>
  </si>
  <si>
    <t>G - Trubkový závit</t>
  </si>
  <si>
    <t>BSPT - Kuželový trubkový závit</t>
  </si>
  <si>
    <t>NPT - Kuželový americký trubkový závit</t>
  </si>
  <si>
    <t>NPTF - Kuželový americký trubkový závit (těsněný)</t>
  </si>
  <si>
    <t>NPSF - Americký trubkový závit</t>
  </si>
  <si>
    <t>PG - Pancéřový závit</t>
  </si>
  <si>
    <t>Ocel uhlíková &lt; 0,25% C, &lt; 400 N/mm2 (např. 11 373)</t>
  </si>
  <si>
    <t>Ocel uhlíková &lt; 0,55% C, &lt; 700 N/mm2 (např. 12 050)</t>
  </si>
  <si>
    <t>Ocel uhlíková &lt; 0,85% C, &lt; 850 N/mm2</t>
  </si>
  <si>
    <t>Ocel nízkolegovaná &lt; 850 N/mm2</t>
  </si>
  <si>
    <t>Ocel vysokolegovaná &lt; 1200 N/mm2</t>
  </si>
  <si>
    <t>Ocel kalená &lt; 45 HRC</t>
  </si>
  <si>
    <t>Ocel kalená &lt; 55 HRC</t>
  </si>
  <si>
    <t>Ocel kalená &lt; 65 HRC</t>
  </si>
  <si>
    <t>Litina šedá &lt; 500 N/mm2</t>
  </si>
  <si>
    <t>Litina šedá &lt; 1000 N/mm2</t>
  </si>
  <si>
    <t>Litina tvárná &lt; 700 N/mm2</t>
  </si>
  <si>
    <t>Litina tvárná &lt; 1000 N/mm2</t>
  </si>
  <si>
    <t>Nerezová ocel, automatová (např. 1.4305)</t>
  </si>
  <si>
    <t>Nerezová ocel, austenitická (např. 1.4301)</t>
  </si>
  <si>
    <t>Nerezová ocel, duplexní</t>
  </si>
  <si>
    <t>Titan, nelegovaný &lt; 700 N/mm2</t>
  </si>
  <si>
    <t>Titan, legovaný &lt; 900 N/mm2</t>
  </si>
  <si>
    <t>Titan, legovaný &lt; 1250 N/mm2</t>
  </si>
  <si>
    <t>Nikl, nelegovaný &lt; 500 N/mm2</t>
  </si>
  <si>
    <t>Nikl, legovaný &lt; 900 N/mm2</t>
  </si>
  <si>
    <t>Nikl, legovaný &lt; 1250 N/mm2</t>
  </si>
  <si>
    <t>Měď, nelegovaná &lt; 350 N/mm2</t>
  </si>
  <si>
    <t>Měď, mosaz, bronz &lt; 700 N/mm2</t>
  </si>
  <si>
    <t>Měď, bronz s vysokou pevností &lt; 1500 N/mm2</t>
  </si>
  <si>
    <t>Hliník, nelegovaný</t>
  </si>
  <si>
    <t>Hliník, legovaný &lt; 0.5% Si</t>
  </si>
  <si>
    <t>Hliník, legovaný &lt; 10% Si</t>
  </si>
  <si>
    <t>Hliník, legovaný &gt; 10% Si</t>
  </si>
  <si>
    <t>D = průměr závitu (mm)</t>
  </si>
  <si>
    <t>P = stoupání závitu (mm)</t>
  </si>
  <si>
    <t>P = počet chodů závitu na palec (TPI)</t>
  </si>
  <si>
    <t>L = délka závitu (mm)</t>
  </si>
  <si>
    <t>S = bezpečná vzdálenost (mm)</t>
  </si>
  <si>
    <t>d = pracovní průměr frézy (mm)</t>
  </si>
  <si>
    <t>l = délka ostří frézy (mm)</t>
  </si>
  <si>
    <t>z = počet břitů frézy</t>
  </si>
  <si>
    <t>V = řezná rychlost (m/min)</t>
  </si>
  <si>
    <t>Fz = posuv na zub (mm/zub)</t>
  </si>
  <si>
    <t>Počet průchodů, radiální (max 3)</t>
  </si>
  <si>
    <t>Počet průchodů, axiální</t>
  </si>
  <si>
    <t>N = otáčky (1/min)</t>
  </si>
  <si>
    <t>FD = posuv ostří frézy (mm/min)</t>
  </si>
  <si>
    <t>Fd = posuv středu frézy (mm/min)</t>
  </si>
  <si>
    <t>T = čas frézování závitu (vteřiny)</t>
  </si>
  <si>
    <t>CNC program pro Fanuc</t>
  </si>
  <si>
    <t>CNC program pro Heidenhein</t>
  </si>
  <si>
    <t>CNC program pro Siemens</t>
  </si>
  <si>
    <t>CNC program pro Num</t>
  </si>
  <si>
    <t>CNC program pro Fagor</t>
  </si>
  <si>
    <t>CNC program pro Mazak</t>
  </si>
  <si>
    <t>CNC program pro Mitsubishi</t>
  </si>
  <si>
    <t>Frézování závitů</t>
  </si>
  <si>
    <t>Před použitím čtěte zde, prosím!</t>
  </si>
  <si>
    <t>Upozornění!</t>
  </si>
  <si>
    <t xml:space="preserve">Jak používat tento Kalkulátor </t>
  </si>
  <si>
    <t>Korekce nástroje</t>
  </si>
  <si>
    <t>V tomto programu používejte korekci nástroje pouze pro velmi malé (cca setiny milimetru) úpravy průměru frézy pro dosažení požadované tolerance závitu. Zamezíte tak možné kolizi nástroje v otvoru.</t>
  </si>
  <si>
    <t>Přesný rozměr závitu co nejsnadněji</t>
  </si>
  <si>
    <t>Neuvedené a speciální nástroje</t>
  </si>
  <si>
    <t>Závitové frézy s jedním nebo dvěma axiálními zuby</t>
  </si>
  <si>
    <t>Pokud si vyberete standardní frézu typu NM s jedním nebo dvěma axiálními zuby, program začne automaticky dělat spirálu hned od začátku až do konce procesu. Pokud chcete udělat to samé s jiným nástrojem, zadejte stoupání závitu do políčka 6 jako délku řezné hrany.</t>
  </si>
  <si>
    <t>Úprava odlehčení závitové frézy</t>
  </si>
  <si>
    <t>Pokud je délka ostří frézy kratší než požadovaná délka závitu, kalkulátor automaticky určí postup pro frézování závitu v několika axiálních průchodech. V tomto případě je nutno upravit odlehčení frézy na požadovanou délku.</t>
  </si>
  <si>
    <t>Závitové frézy s vyměnitelnými destičkami</t>
  </si>
  <si>
    <t>Kuželové závity</t>
  </si>
  <si>
    <t xml:space="preserve">Pracovní průměr frézy je průměr přes poslední plný závit nejblíže ke stopce nástroje. Je proto nezbytné zadat průměr závitu kde tato část frézy bude pracovat. </t>
  </si>
  <si>
    <t>zpět</t>
  </si>
  <si>
    <r>
      <rPr>
        <b/>
        <sz val="9"/>
        <rFont val="Verdana"/>
        <family val="2"/>
      </rPr>
      <t>1)</t>
    </r>
    <r>
      <rPr>
        <sz val="9"/>
        <rFont val="Verdana"/>
        <family val="2"/>
      </rPr>
      <t xml:space="preserve"> Vyberte </t>
    </r>
    <r>
      <rPr>
        <b/>
        <sz val="9"/>
        <rFont val="Verdana"/>
        <family val="2"/>
      </rPr>
      <t>JAZYK</t>
    </r>
    <r>
      <rPr>
        <sz val="9"/>
        <rFont val="Verdana"/>
        <family val="2"/>
      </rPr>
      <t xml:space="preserve"> vpravo dole
</t>
    </r>
    <r>
      <rPr>
        <b/>
        <sz val="9"/>
        <rFont val="Verdana"/>
        <family val="2"/>
      </rPr>
      <t>2)</t>
    </r>
    <r>
      <rPr>
        <sz val="9"/>
        <rFont val="Verdana"/>
        <family val="2"/>
      </rPr>
      <t xml:space="preserve"> Vyberte hodnoty v prvních čtyřech </t>
    </r>
    <r>
      <rPr>
        <b/>
        <sz val="9"/>
        <rFont val="Verdana"/>
        <family val="2"/>
      </rPr>
      <t>ROZBALOVACÍCH POLÍČKÁCH</t>
    </r>
    <r>
      <rPr>
        <sz val="9"/>
        <rFont val="Verdana"/>
        <family val="2"/>
      </rPr>
      <t xml:space="preserve">
</t>
    </r>
    <r>
      <rPr>
        <b/>
        <sz val="9"/>
        <rFont val="Verdana"/>
        <family val="2"/>
      </rPr>
      <t>3)</t>
    </r>
    <r>
      <rPr>
        <sz val="9"/>
        <rFont val="Verdana"/>
        <family val="2"/>
      </rPr>
      <t xml:space="preserve"> Vyplňte hodnoty v </t>
    </r>
    <r>
      <rPr>
        <b/>
        <sz val="9"/>
        <rFont val="Verdana"/>
        <family val="2"/>
      </rPr>
      <t>POLÍČKÁCH č. 1 - 4</t>
    </r>
    <r>
      <rPr>
        <sz val="9"/>
        <rFont val="Verdana"/>
        <family val="2"/>
      </rPr>
      <t xml:space="preserve">
</t>
    </r>
    <r>
      <rPr>
        <b/>
        <sz val="9"/>
        <rFont val="Verdana"/>
        <family val="2"/>
      </rPr>
      <t>4)</t>
    </r>
    <r>
      <rPr>
        <sz val="9"/>
        <rFont val="Verdana"/>
        <family val="2"/>
      </rPr>
      <t xml:space="preserve"> Po vyplnění vhodných parametrů </t>
    </r>
    <r>
      <rPr>
        <b/>
        <sz val="9"/>
        <rFont val="Verdana"/>
        <family val="2"/>
      </rPr>
      <t>PROGRAM NAVRHNE VHODNÉ NÁSTROJE</t>
    </r>
    <r>
      <rPr>
        <sz val="9"/>
        <rFont val="Verdana"/>
        <family val="2"/>
      </rPr>
      <t xml:space="preserve"> (jsou uvedené v rozbalovacím políčku pod políčkem č.4)
</t>
    </r>
    <r>
      <rPr>
        <b/>
        <sz val="9"/>
        <rFont val="Verdana"/>
        <family val="2"/>
      </rPr>
      <t>5)</t>
    </r>
    <r>
      <rPr>
        <sz val="9"/>
        <rFont val="Verdana"/>
        <family val="2"/>
      </rPr>
      <t xml:space="preserve"> Když si </t>
    </r>
    <r>
      <rPr>
        <b/>
        <sz val="9"/>
        <rFont val="Verdana"/>
        <family val="2"/>
      </rPr>
      <t>VYBERETE JEDEN</t>
    </r>
    <r>
      <rPr>
        <sz val="9"/>
        <rFont val="Verdana"/>
        <family val="2"/>
      </rPr>
      <t xml:space="preserve"> z navržených nástrojů, zobrazí se důležité rozměry tohoto nástroje + doporučené řezné parametry + čas frézování závitu. Současně se zobrazí i CNC program, který si můžete zkopírovat do Vašeho programu.
</t>
    </r>
    <r>
      <rPr>
        <b/>
        <sz val="9"/>
        <rFont val="Verdana"/>
        <family val="2"/>
      </rPr>
      <t>6)</t>
    </r>
    <r>
      <rPr>
        <sz val="9"/>
        <rFont val="Verdana"/>
        <family val="2"/>
      </rPr>
      <t xml:space="preserve"> Políčka 5-10 se vyplňují pouze v případě, kdy Vám nevyhovují navržené hodnoty.</t>
    </r>
  </si>
  <si>
    <r>
      <t xml:space="preserve">Pokud chcete použít nástroj který není uveden v seznamu, zadejte prosím tyto hodnoty:
</t>
    </r>
    <r>
      <rPr>
        <b/>
        <sz val="9"/>
        <rFont val="Verdana"/>
        <family val="2"/>
      </rPr>
      <t>1)</t>
    </r>
    <r>
      <rPr>
        <sz val="9"/>
        <rFont val="Verdana"/>
        <family val="2"/>
      </rPr>
      <t xml:space="preserve"> POLÍČKO č.5 - PRŮMĚR FRÉZY
</t>
    </r>
    <r>
      <rPr>
        <b/>
        <sz val="9"/>
        <rFont val="Verdana"/>
        <family val="2"/>
      </rPr>
      <t>2)</t>
    </r>
    <r>
      <rPr>
        <sz val="9"/>
        <rFont val="Verdana"/>
        <family val="2"/>
      </rPr>
      <t xml:space="preserve"> POLÍČKO č.6 - DÉLKU OSTŘÍ DESTIČKY
</t>
    </r>
    <r>
      <rPr>
        <b/>
        <sz val="9"/>
        <rFont val="Verdana"/>
        <family val="2"/>
      </rPr>
      <t>3)</t>
    </r>
    <r>
      <rPr>
        <sz val="9"/>
        <rFont val="Verdana"/>
        <family val="2"/>
      </rPr>
      <t xml:space="preserve"> POLÍČKO č.7 - POČET DESTIČEK na fréze</t>
    </r>
  </si>
  <si>
    <r>
      <rPr>
        <b/>
        <sz val="9"/>
        <rFont val="Verdana"/>
        <family val="2"/>
      </rPr>
      <t>1)</t>
    </r>
    <r>
      <rPr>
        <sz val="9"/>
        <rFont val="Verdana"/>
        <family val="2"/>
      </rPr>
      <t xml:space="preserve"> POLÍČKO č.5 - zadejte PRŮMĚR FRÉZY
</t>
    </r>
    <r>
      <rPr>
        <b/>
        <sz val="9"/>
        <rFont val="Verdana"/>
        <family val="2"/>
      </rPr>
      <t>2)</t>
    </r>
    <r>
      <rPr>
        <sz val="9"/>
        <rFont val="Verdana"/>
        <family val="2"/>
      </rPr>
      <t xml:space="preserve"> POLÍČKO č.6 - zadejte DÉLKU OSTŘÍ DESTIČKY
</t>
    </r>
    <r>
      <rPr>
        <b/>
        <sz val="9"/>
        <rFont val="Verdana"/>
        <family val="2"/>
      </rPr>
      <t>3)</t>
    </r>
    <r>
      <rPr>
        <sz val="9"/>
        <rFont val="Verdana"/>
        <family val="2"/>
      </rPr>
      <t xml:space="preserve"> POLÍČKO č.7 - zadejte POČET DESTIČEK na fréze
</t>
    </r>
    <r>
      <rPr>
        <b/>
        <sz val="9"/>
        <rFont val="Verdana"/>
        <family val="2"/>
      </rPr>
      <t>4)</t>
    </r>
    <r>
      <rPr>
        <sz val="9"/>
        <rFont val="Verdana"/>
        <family val="2"/>
      </rPr>
      <t xml:space="preserve"> Vytvoří se CNC program pro výrobu plné délky závitu. Pokud je potřeba tak i v několika axiálních průchodech. V tomto případě je nutno zkontrolovat odlehčení vybrané frézy.</t>
    </r>
  </si>
  <si>
    <t>XBT1616D40_11W_AC</t>
  </si>
  <si>
    <t>XBT1212D28_14W_AC</t>
  </si>
  <si>
    <t>XBT1010D22_19W_AC</t>
  </si>
  <si>
    <t>XBT0606C10_28W_AC</t>
  </si>
  <si>
    <t>XB2020E49_11W_AC</t>
  </si>
  <si>
    <t>XB2020D42_8NPTF_AC</t>
  </si>
  <si>
    <t>XB2020D42_8NPT_AC</t>
  </si>
  <si>
    <t>XB1616E28_14W_AC</t>
  </si>
  <si>
    <t>XB1616D40_11W_AC</t>
  </si>
  <si>
    <t>XB1616D31_11BSPT_AC</t>
  </si>
  <si>
    <t>XB1616D29_11.5NPTF_AC</t>
  </si>
  <si>
    <t>XB1616D29_11.5NPT_AC</t>
  </si>
  <si>
    <t>XB1616D29_11.5NPSF_AC</t>
  </si>
  <si>
    <t>XB1212D31_16PG_AC</t>
  </si>
  <si>
    <t>XB1212D28_14W_AC</t>
  </si>
  <si>
    <t>XB1212D22_14NPTF_AC</t>
  </si>
  <si>
    <t>XB1212D22_14NPT_AC</t>
  </si>
  <si>
    <t>XB1212D22_14NPSF_AC</t>
  </si>
  <si>
    <t>XB1212D20_14W_AC</t>
  </si>
  <si>
    <t>XB1212D20_14BSPT_AC</t>
  </si>
  <si>
    <t>XB1212C26_11W_AC</t>
  </si>
  <si>
    <t>XB1010D22_19W_AC</t>
  </si>
  <si>
    <t>XB1010C27_18PG_AC</t>
  </si>
  <si>
    <t>XB0808C21_20PG_AC</t>
  </si>
  <si>
    <t>XB0808C16_18NPTF_AC</t>
  </si>
  <si>
    <t>XB0808C16_18NPT_AC</t>
  </si>
  <si>
    <t>XB0808C16_18NPSF_AC</t>
  </si>
  <si>
    <t>XB0808C15_19W_AC</t>
  </si>
  <si>
    <t>XB0808C15_19BSPT_AC</t>
  </si>
  <si>
    <t>XB0606C12_27NPSF_AC</t>
  </si>
  <si>
    <t>XB0606C10_28W_AC</t>
  </si>
  <si>
    <t>XB0606C10_28BSPT_AC</t>
  </si>
  <si>
    <t>XB0606C10_27NPTF_AC</t>
  </si>
  <si>
    <t>XB0606C10_27NPT_AC</t>
  </si>
  <si>
    <t>NF1409C32_1.75ISO_AC</t>
  </si>
  <si>
    <t>NF1409C27_1.75ISO_AC</t>
  </si>
  <si>
    <t>NF1409C20_1.75ISO_AC</t>
  </si>
  <si>
    <t>NF12075C27_1.5ISO_AC</t>
  </si>
  <si>
    <t>NF12075C21_1.5ISO_AC</t>
  </si>
  <si>
    <t>NF12075C17_1.5ISO_AC</t>
  </si>
  <si>
    <t>NF1006C21_1.25ISO_AC</t>
  </si>
  <si>
    <t>NF1006C18_1.25ISO_AC</t>
  </si>
  <si>
    <t>NF1006C14_1.25ISO_AC</t>
  </si>
  <si>
    <t>NF08045C16_1.0ISO_AC</t>
  </si>
  <si>
    <t>NF08045C13_1.0ISO_AC</t>
  </si>
  <si>
    <t>NF08045C10_1.0ISO_AC</t>
  </si>
  <si>
    <t>NF0603C8_0.7ISO_AC</t>
  </si>
  <si>
    <t>NF0603C7_0.7ISO_AC</t>
  </si>
  <si>
    <t>NF0603C12_0.7ISO_AC</t>
  </si>
  <si>
    <t>NF0603C10_0.7ISO_AC</t>
  </si>
  <si>
    <t>NF06038C8_0.8ISO_AC</t>
  </si>
  <si>
    <t>NF06038C16_0.8ISO_AC</t>
  </si>
  <si>
    <t>NF06038C13_0.8ISO_AC</t>
  </si>
  <si>
    <t>NF06038C10_0.8ISO_AC</t>
  </si>
  <si>
    <t>NF06023C9_0.5ISO_AC</t>
  </si>
  <si>
    <t>NF06023C8_0.5ISO_AC</t>
  </si>
  <si>
    <t>NF06023C6_0.5ISO_AC</t>
  </si>
  <si>
    <t>NF06023C5_0.5ISO_AC</t>
  </si>
  <si>
    <t>NBT1616E39_2.0ISO_AC</t>
  </si>
  <si>
    <t>NBT1212D35_2.0ISO_AC</t>
  </si>
  <si>
    <t>NBT1010C31_2.0ISO_AC</t>
  </si>
  <si>
    <t>NBT1009C27_1.75ISO_AC</t>
  </si>
  <si>
    <t>NBT0808D17_1.0ISO_AC</t>
  </si>
  <si>
    <t>NBT0808C27_1.75ISO_AC</t>
  </si>
  <si>
    <t>NBT08075C21_1.5ISO_AC</t>
  </si>
  <si>
    <t>NBT0606C18_1.25ISO_AC</t>
  </si>
  <si>
    <t>NBK2020C64_3.5ISO_AC</t>
  </si>
  <si>
    <t>NBK2020C50_3.5ISO_AC</t>
  </si>
  <si>
    <t>NBK1616F35_1.5ISO_AC</t>
  </si>
  <si>
    <t>NBK1616E39_2.0ISO_AC</t>
  </si>
  <si>
    <t>NBK1616C52_3.0ISO_AC</t>
  </si>
  <si>
    <t>NBK1616C40_3.0ISO_AC</t>
  </si>
  <si>
    <t>NBK1615D53_2.5ISO_AC</t>
  </si>
  <si>
    <t>NBK1414D43_2.5ISO_AC</t>
  </si>
  <si>
    <t>NBK1414D33_2.5ISO_AC</t>
  </si>
  <si>
    <t>NBK1212D43_2.0ISO_AC</t>
  </si>
  <si>
    <t>NBK1212D35_2.0ISO_AC</t>
  </si>
  <si>
    <t>NBK1212D27_2.0ISO_AC</t>
  </si>
  <si>
    <t>NBK1212C51_2.0ISO_AC</t>
  </si>
  <si>
    <t>NBK1010C31_2.0ISO_AC</t>
  </si>
  <si>
    <t>NBK1010C23_2.0ISO_AC</t>
  </si>
  <si>
    <t>NBK1009C37_1.75ISO_AC</t>
  </si>
  <si>
    <t>NBK1009C32_1.75ISO_AC</t>
  </si>
  <si>
    <t>NBK1009C27_1.75ISO_AC</t>
  </si>
  <si>
    <t>NBK1009C20_1.75ISO_AC</t>
  </si>
  <si>
    <t>NBK0808D17_1.0ISO_AC</t>
  </si>
  <si>
    <t>NBK0808C27_1.75ISO_AC</t>
  </si>
  <si>
    <t>NBK0808C20_1.75ISO_AC</t>
  </si>
  <si>
    <t>NBK08075C32_1.5ISO_AC</t>
  </si>
  <si>
    <t>NBK08075C27_1.5ISO_AC</t>
  </si>
  <si>
    <t>NBK08075C21_1.5ISO_AC</t>
  </si>
  <si>
    <t>NBK08075C17_1.5ISO_AC</t>
  </si>
  <si>
    <t>NBK0606C21_1.25ISO_AC</t>
  </si>
  <si>
    <t>NBK0606C18_1.25ISO_AC</t>
  </si>
  <si>
    <t>NBK0606C14_1.25ISO_AC</t>
  </si>
  <si>
    <t>NBK06045C16_1.0ISO_AC</t>
  </si>
  <si>
    <t>NBK06045C13_1.0ISO_AC</t>
  </si>
  <si>
    <t>NBK06045C10_1.0ISO_AC</t>
  </si>
  <si>
    <t>NBK04038C8_0.8ISO_AC</t>
  </si>
  <si>
    <t>NBK04038C13_0.8ISO_AC</t>
  </si>
  <si>
    <t>NBK04038C10_0.8ISO_AC</t>
  </si>
  <si>
    <t>NB2525C61_6UN_AC</t>
  </si>
  <si>
    <t>NB2020F43_2.0ISO_AC</t>
  </si>
  <si>
    <t>NB2020D49_8UN_AC</t>
  </si>
  <si>
    <t>NB2020D46_3.0ISO_AC</t>
  </si>
  <si>
    <t>NB2020C78_3.5ISO_AC</t>
  </si>
  <si>
    <t>NB2020C64_3.5ISO_AC</t>
  </si>
  <si>
    <t>NB2020C52_7UN_AC</t>
  </si>
  <si>
    <t>NB2020C50_3.5ISO_AC</t>
  </si>
  <si>
    <t>NB1818C64_3.0ISO_AC</t>
  </si>
  <si>
    <t>NB1616F35_1.5ISO_AC</t>
  </si>
  <si>
    <t>NB1616F26_1.5ISO_AC</t>
  </si>
  <si>
    <t>NB1616F18_1.5ISO_AC</t>
  </si>
  <si>
    <t>NB1616E46_14UN_AC</t>
  </si>
  <si>
    <t>NB1616E43_12UN_AC</t>
  </si>
  <si>
    <t>NB1616E39_2.0ISO_AC</t>
  </si>
  <si>
    <t>NB1616E35_16UN_AC</t>
  </si>
  <si>
    <t>NB1616E35_14UN_AC</t>
  </si>
  <si>
    <t>NB1616E29_2.0ISO_AC</t>
  </si>
  <si>
    <t>NB1616C55_8UN_AC</t>
  </si>
  <si>
    <t>NB1616C52_3.0ISO_AC</t>
  </si>
  <si>
    <t>NB1616C49_9UN_AC</t>
  </si>
  <si>
    <t>NB1616C42_8UN_AC</t>
  </si>
  <si>
    <t>NB1616C40_3.0ISO_AC</t>
  </si>
  <si>
    <t>NB1616C38_9UN_AC</t>
  </si>
  <si>
    <t>NB1615D53_2.5ISO_AC</t>
  </si>
  <si>
    <t>NB1615C63_2.5ISO_AC</t>
  </si>
  <si>
    <t>NB1414D43_2.5ISO_AC</t>
  </si>
  <si>
    <t>NB1414D33_2.5ISO_AC</t>
  </si>
  <si>
    <t>NB1212F21_1.0ISO_AC</t>
  </si>
  <si>
    <t>NB1212F15_1.0ISO_AC</t>
  </si>
  <si>
    <t>NB1212E28_20UN_AC</t>
  </si>
  <si>
    <t>NB1212D43_2.0ISO_AC</t>
  </si>
  <si>
    <t>NB1212D40_16UN_AC</t>
  </si>
  <si>
    <t>NB1212D35_2.0ISO_AC</t>
  </si>
  <si>
    <t>NB1212D33_18UN_AC</t>
  </si>
  <si>
    <t>NB1212D31_16UN_AC</t>
  </si>
  <si>
    <t>NB1212D27_2.0ISO_AC</t>
  </si>
  <si>
    <t>NB1212D26_18UN_AC</t>
  </si>
  <si>
    <t>NB1212C51_2.0ISO_AC</t>
  </si>
  <si>
    <t>NB1212C48_2.5ISO_AC</t>
  </si>
  <si>
    <t>NB1212C41_10UN_AC</t>
  </si>
  <si>
    <t>NB1212C38_2.5ISO_AC</t>
  </si>
  <si>
    <t>NB1212C31_2.5ISO_AC</t>
  </si>
  <si>
    <t>NB1212C31_10UN_AC</t>
  </si>
  <si>
    <t>NB12117C42_11UN_AC</t>
  </si>
  <si>
    <t>NB1010E19_1.0ISO_AC</t>
  </si>
  <si>
    <t>NB1010E14_1.0ISO_ AC</t>
  </si>
  <si>
    <t>NB1010D30_18UN_AC</t>
  </si>
  <si>
    <t>NB1010D27_20UN_AC</t>
  </si>
  <si>
    <t>NB1010D23_18UN_AC</t>
  </si>
  <si>
    <t>NB1010D23_1.5ISO_AC</t>
  </si>
  <si>
    <t>NB1010D21_20UN_AC</t>
  </si>
  <si>
    <t>NB1010D17_1.5ISO_AC</t>
  </si>
  <si>
    <t>NB1010C37_2.0ISO_AC</t>
  </si>
  <si>
    <t>NB1010C35_11UN_AC</t>
  </si>
  <si>
    <t>NB1010C31_2.0ISO_AC</t>
  </si>
  <si>
    <t>NB1010C30_12UN_AC</t>
  </si>
  <si>
    <t>NB1010C26_11UN_AC</t>
  </si>
  <si>
    <t>NB1010C24_12UN_AC</t>
  </si>
  <si>
    <t>NB1010C23_2.0ISO_AC</t>
  </si>
  <si>
    <t>NB1009C37_1.75ISO_AC</t>
  </si>
  <si>
    <t>NB1009C32_1.75ISO_AC</t>
  </si>
  <si>
    <t>NB1009C27_1.75ISO_AC</t>
  </si>
  <si>
    <t>NB1009C20_1.75ISO_AC</t>
  </si>
  <si>
    <t>NB10093C34_13UN_AC</t>
  </si>
  <si>
    <t>NB0808D17_28UN_AC</t>
  </si>
  <si>
    <t>NB0808D17_1.0ISO_AC</t>
  </si>
  <si>
    <t>NB0808D13_1.0ISO_AC</t>
  </si>
  <si>
    <t>NB0808D10_1.0ISO_AC</t>
  </si>
  <si>
    <t>NB0808C30_14UN_AC</t>
  </si>
  <si>
    <t>NB0808C28_13UN_AC</t>
  </si>
  <si>
    <t>NB0808C27_1.75ISO_AC</t>
  </si>
  <si>
    <t>NB0808C24_14UN_AC</t>
  </si>
  <si>
    <t>NB0808C23_20UN_AC</t>
  </si>
  <si>
    <t>NB0808C22_13UN_AC</t>
  </si>
  <si>
    <t>NB0808C20_1.75ISO_AC</t>
  </si>
  <si>
    <t>NB0808C19_14UN_AC</t>
  </si>
  <si>
    <t>NB0808C18_20UN_AC</t>
  </si>
  <si>
    <t>NB0807C26_16UN_AC</t>
  </si>
  <si>
    <t>NB08076C20_24UN_AC</t>
  </si>
  <si>
    <t>NB08076C15_24UN_AC</t>
  </si>
  <si>
    <t>NB08075C32_1.5ISO_AC</t>
  </si>
  <si>
    <t>NB08075C27_1.5ISO_AC</t>
  </si>
  <si>
    <t>NB08075C21_1.5ISO_AC</t>
  </si>
  <si>
    <t>NB08075C17_1.5ISO_AC</t>
  </si>
  <si>
    <t>NB0606D13_32UN_AC</t>
  </si>
  <si>
    <t>NB0606C25_1.25ISO_AC</t>
  </si>
  <si>
    <t>NB0606C21_16UN_AC</t>
  </si>
  <si>
    <t>NB0606C21_1.25ISO_AC</t>
  </si>
  <si>
    <t>NB0606C18_1.25ISO_AC</t>
  </si>
  <si>
    <t>NB0606C17_24UN_AC</t>
  </si>
  <si>
    <t>NB0606C16_16UN_AC</t>
  </si>
  <si>
    <t>NB0606C14_1.25ISO_AC</t>
  </si>
  <si>
    <t>NB0606C13_24UN_AC</t>
  </si>
  <si>
    <t>NB0606C13_1.0ISO_AC</t>
  </si>
  <si>
    <t>NB0606C10_1.0ISO_AC</t>
  </si>
  <si>
    <t>NB0605C14_28UN_AC</t>
  </si>
  <si>
    <t>NB0605C10_28UN_AC</t>
  </si>
  <si>
    <t>NB06058C21_18UN_AC</t>
  </si>
  <si>
    <t>NB06058C17_18UN_AC</t>
  </si>
  <si>
    <t>NB06058C13_18UN_AC</t>
  </si>
  <si>
    <t>NB06045C19_1.0ISO_AC</t>
  </si>
  <si>
    <t>NB06045C17_20UN_AC</t>
  </si>
  <si>
    <t>NB06045C16_1.0ISO_AC</t>
  </si>
  <si>
    <t>NB06045C16_0.75ISO_AC</t>
  </si>
  <si>
    <t>NB06045C14_20UN_AC</t>
  </si>
  <si>
    <t>NB06045C13_1.0ISO_AC</t>
  </si>
  <si>
    <t>NB06045C10_20UN_AC</t>
  </si>
  <si>
    <t>NB06045C10_1.0ISO_AC</t>
  </si>
  <si>
    <t>NB06045C10_0.75ISO_AC</t>
  </si>
  <si>
    <t>NB0603C8_0.7ISO_AC</t>
  </si>
  <si>
    <t>NB0603C7_0.7ISO_AC</t>
  </si>
  <si>
    <t>NB0603C10_0.7ISO_AC</t>
  </si>
  <si>
    <t>NB06038C8_0.8ISO_AC</t>
  </si>
  <si>
    <t>NB06038C13_0.8ISO_AC</t>
  </si>
  <si>
    <t>NB06038C10_0.8ISO_AC</t>
  </si>
  <si>
    <t>NB06038C10_0.5ISO_AC</t>
  </si>
  <si>
    <t>NB06023C8_0.5ISO_AC</t>
  </si>
  <si>
    <t>NB06023C6_0.5ISO_AC</t>
  </si>
  <si>
    <t>NB06023C5_0.5ISO_AC</t>
  </si>
  <si>
    <t>NB0404C9_28UN_AC</t>
  </si>
  <si>
    <t>NB0404C15_24UN_AC</t>
  </si>
  <si>
    <t>NB0404C12_28UN_AC</t>
  </si>
  <si>
    <t>NB0404C12_24UN_AC</t>
  </si>
  <si>
    <t>NB0404C10_24UN_AC</t>
  </si>
  <si>
    <t>NB0403C9_32UN_AC</t>
  </si>
  <si>
    <t>NB0403C8_0.7ISO_AC</t>
  </si>
  <si>
    <t>NB0403C7_32UN_AC</t>
  </si>
  <si>
    <t>NB0403C7_0.7ISO_AC</t>
  </si>
  <si>
    <t>NB0403C11_32UN_AC</t>
  </si>
  <si>
    <t>NB0403C10_0.7ISO_AC</t>
  </si>
  <si>
    <t>NB04038C8_0.8ISO_AC</t>
  </si>
  <si>
    <t>NB04038C13_0.8ISO_AC</t>
  </si>
  <si>
    <t>NB04038C10_0.8ISO_AC</t>
  </si>
  <si>
    <t>NB04038C10_0.5ISO_AC</t>
  </si>
  <si>
    <t>NB04036C8_32UN_AC</t>
  </si>
  <si>
    <t>NB04036C10_32UN_AC</t>
  </si>
  <si>
    <t>NB04034C7_0.75ISO_AC</t>
  </si>
  <si>
    <t>NB04034C10_0.75ISO_AC</t>
  </si>
  <si>
    <t>NB04031C9_36UN_AC</t>
  </si>
  <si>
    <t>NB04031C7_36UN_AC</t>
  </si>
  <si>
    <t>NB04026C8_0.6ISO_AC</t>
  </si>
  <si>
    <t>NB04026C6_40UN_AC</t>
  </si>
  <si>
    <t>NB04026C6_0.6ISO_AC</t>
  </si>
  <si>
    <t>NB04025C8_32UN_AC</t>
  </si>
  <si>
    <t>NB04025C6_32UN_AC</t>
  </si>
  <si>
    <t>NB04025C10_32UN_AC</t>
  </si>
  <si>
    <t>NB04024C5_44UN_AC</t>
  </si>
  <si>
    <t>NB04023C8_40UN_AC</t>
  </si>
  <si>
    <t>NB04023C8_0.5ISO_AC</t>
  </si>
  <si>
    <t>NB04023C7_40UN_AC</t>
  </si>
  <si>
    <t>NB04023C6_0.5ISO_AC</t>
  </si>
  <si>
    <t>NB04023C5_40UN_AC</t>
  </si>
  <si>
    <t>NB04023C5_0.5ISO_AC</t>
  </si>
  <si>
    <t>NB04019C5_0.45ISO_AC</t>
  </si>
  <si>
    <t>NB04019C4_0.45ISO_AC</t>
  </si>
  <si>
    <t>NB04016C5_0.45ISO_AC</t>
  </si>
  <si>
    <t>NB04016C3_0.45ISO_AC</t>
  </si>
  <si>
    <t>NB04015C4_0.4ISO_AC</t>
  </si>
  <si>
    <t>NB04015C3_0.4ISO_AC</t>
  </si>
  <si>
    <t>i kolumn S2 till S25</t>
  </si>
  <si>
    <t>samt U2 till U25</t>
  </si>
  <si>
    <t>N, O, P, Q och R.</t>
  </si>
  <si>
    <t>för kolumn CNC!AK12</t>
  </si>
  <si>
    <t>och ändra rullist CNC!B20 genom att</t>
  </si>
  <si>
    <t>samt CNC!C22 till CNC!C24.</t>
  </si>
  <si>
    <t>S, T, U, V, W, CNC!AF</t>
  </si>
  <si>
    <t>NB1212E15_1.5ISO_AC</t>
  </si>
  <si>
    <t>NB1212E21_1.5ISO_AC</t>
  </si>
  <si>
    <t>NB1212E29_1.5ISO_AC</t>
  </si>
  <si>
    <t>NB2020F57_2.0ISO_AC</t>
  </si>
  <si>
    <t>NB2020D61_3.0ISO_AC</t>
  </si>
  <si>
    <t>NB2020C58_4.0ISO_AC</t>
  </si>
  <si>
    <t>EB1616E35_2.0ISO_AC</t>
  </si>
  <si>
    <t>EB1212E26_1.5ISO_AC</t>
  </si>
  <si>
    <t>EB1010E21_1.0ISO_AC</t>
  </si>
  <si>
    <t>NB04036C9_24UN_AC</t>
  </si>
  <si>
    <t>NB04036C13_24UN_AC</t>
  </si>
  <si>
    <t>NB04036C11_24UN_AC</t>
  </si>
  <si>
    <t>XB1616E22_14NPT_AC</t>
  </si>
  <si>
    <t>NBK1212E29_1.5ISO_AC</t>
  </si>
  <si>
    <t>NBT1212E29_1.5ISO_AC</t>
  </si>
  <si>
    <t>NB04017C3_64UN_AC</t>
  </si>
  <si>
    <t>NB04017C5_64UN_AC</t>
  </si>
  <si>
    <t>NB04016C3_56UN_AC</t>
  </si>
  <si>
    <t>NB04016C5_56UN_AC</t>
  </si>
  <si>
    <t>NB04019C4_56UN_AC</t>
  </si>
  <si>
    <t>NB04019C5_56UN_AC</t>
  </si>
  <si>
    <t>NB04019C4_48UN_AC</t>
  </si>
  <si>
    <t>NB04019C5_48UN_AC</t>
  </si>
  <si>
    <t>NB04021C5_48UN_AC</t>
  </si>
  <si>
    <t>NB04021C6_48UN_AC</t>
  </si>
  <si>
    <t>NB04024C7_44UN_AC</t>
  </si>
  <si>
    <t>NB04021C5_40UN_AC</t>
  </si>
  <si>
    <t>NB04021C6_40UN_AC</t>
  </si>
  <si>
    <t>NB04026C8_40UN_AC</t>
  </si>
  <si>
    <t>XB0808D14_28W_AC</t>
  </si>
  <si>
    <t>XB0808D14_28BSPT_AC</t>
  </si>
  <si>
    <t>XB1010D22_19BSPT_AC</t>
  </si>
  <si>
    <t>XB1010D16_18NPT_AC</t>
  </si>
  <si>
    <t>NM04015D4_0.4ISO_AC</t>
  </si>
  <si>
    <t>NM04015D6_0.4ISO_AC</t>
  </si>
  <si>
    <t>NM04016D5_0.45ISO_AC</t>
  </si>
  <si>
    <t>NM04016D7_0.45ISO_AC</t>
  </si>
  <si>
    <t>NM04019D5_0.45ISO_AC</t>
  </si>
  <si>
    <t>NM04019D8_0.45ISO_AC</t>
  </si>
  <si>
    <t>NM04023E6_0.5ISO_AC</t>
  </si>
  <si>
    <t>NM04023E9_0.5ISO_AC</t>
  </si>
  <si>
    <t>NM04026E7_0.6ISO_AC</t>
  </si>
  <si>
    <t>NM04026E11_0.6ISO_AC</t>
  </si>
  <si>
    <t>NM0403E9_0.7ISO_AC</t>
  </si>
  <si>
    <t>NM0403E13_0.7ISO_AC</t>
  </si>
  <si>
    <t>NM04034E10_0.75ISO_AC</t>
  </si>
  <si>
    <t>NM04034E14_0.75ISO_AC</t>
  </si>
  <si>
    <t>NM04038E11_0.8ISO_AC</t>
  </si>
  <si>
    <t>NM04038E16_0.8ISO_AC</t>
  </si>
  <si>
    <t>NM06045E13_1.0ISO_AC</t>
  </si>
  <si>
    <t>NM06045E19_1.0ISO_AC</t>
  </si>
  <si>
    <t>NM0606E17_1.25ISO_AC</t>
  </si>
  <si>
    <t>NM0606E25_1.25ISO_AC</t>
  </si>
  <si>
    <t>NM08075E22_1.5ISO_AC</t>
  </si>
  <si>
    <t>NM08075E32_1.5ISO_AC</t>
  </si>
  <si>
    <t>NM1009E26_1.75ISO_AC</t>
  </si>
  <si>
    <t>NM1009E38_1.75ISO_AC</t>
  </si>
  <si>
    <t>NM1010E30_2.0ISO_AC</t>
  </si>
  <si>
    <t>NM1010E44_2.0ISO_AC</t>
  </si>
  <si>
    <t>NM1212F34_2.0ISO_AC</t>
  </si>
  <si>
    <t>NM1212F50_2.0ISO_AC</t>
  </si>
  <si>
    <t>NS03007C2_0.25ISO_LC</t>
  </si>
  <si>
    <t>NS03007C3_0.25ISO_LC</t>
  </si>
  <si>
    <t>NS03009C2_0.25ISO_LC</t>
  </si>
  <si>
    <t>NS03009C3_0.25ISO_LC</t>
  </si>
  <si>
    <t>NS03010C3_0.3ISO_LC</t>
  </si>
  <si>
    <t>NS03010C4_0.3ISO_LC</t>
  </si>
  <si>
    <t>NS03012D3_0.35ISO_LC</t>
  </si>
  <si>
    <t>NS03012D5_0.35ISO_LC</t>
  </si>
  <si>
    <t>NS03014D4_0.35ISO_LC</t>
  </si>
  <si>
    <t>NS03014D5_0.35ISO_LC</t>
  </si>
  <si>
    <t>NS03015D4_0.4ISO_LC</t>
  </si>
  <si>
    <t>NS03015D6_0.4ISO_LC</t>
  </si>
  <si>
    <t>NS03003C1.3_P60_LC</t>
  </si>
  <si>
    <t>NS03004C1.5_P60_LC</t>
  </si>
  <si>
    <t>NS03005C2.0_P60_LC</t>
  </si>
  <si>
    <t>NS03005C2.7_P60_LC</t>
  </si>
  <si>
    <t>NS03007C2.5_P60_LC</t>
  </si>
  <si>
    <t>NS03007C3.2_P60_LC</t>
  </si>
  <si>
    <t>NS03009C2.9_P60_LC</t>
  </si>
  <si>
    <t>NS03009C3.9_P60_LC</t>
  </si>
  <si>
    <t>NS03010C3.3_P60_LC</t>
  </si>
  <si>
    <t>NS03010C4.4_P60_LC</t>
  </si>
  <si>
    <t>NS03012D3.6_P60_LC</t>
  </si>
  <si>
    <t>NS03012D5.1_P60_LC</t>
  </si>
  <si>
    <t>NS03014D4.2_P60_LC</t>
  </si>
  <si>
    <t>NS03014D5.6_P60_LC</t>
  </si>
  <si>
    <t>NS03015D4.6_P60_LC</t>
  </si>
  <si>
    <t>NS03015D6.2_P60_LC</t>
  </si>
  <si>
    <t>NS04015D4_P60_AC</t>
  </si>
  <si>
    <t>NS04015D6_P60_AC</t>
  </si>
  <si>
    <t>NS04016D5_P60_AC</t>
  </si>
  <si>
    <t>NS04016D7_P60_AC</t>
  </si>
  <si>
    <t>NS04019D5_P60_AC</t>
  </si>
  <si>
    <t>NS04019D8_P60_AC</t>
  </si>
  <si>
    <t>NS04021D6_P60_AC</t>
  </si>
  <si>
    <t>NS04021D9_P60_AC</t>
  </si>
  <si>
    <t>NS04023D6_P60_AC</t>
  </si>
  <si>
    <t>NS04023D9_P60_AC</t>
  </si>
  <si>
    <t>NS04026D7_P60_AC</t>
  </si>
  <si>
    <t>NS04026D11_P60_AC</t>
  </si>
  <si>
    <t>NS0403D9_P60_AC</t>
  </si>
  <si>
    <t>NS0403D13_P60_AC</t>
  </si>
  <si>
    <t>NS04036D10_P60_AC</t>
  </si>
  <si>
    <t>NS04036D14_P60_AC</t>
  </si>
  <si>
    <t>NS0404D11_P60_AC</t>
  </si>
  <si>
    <t>NS0404D16_P60_AC</t>
  </si>
  <si>
    <t>NS06045D13_P60_AC</t>
  </si>
  <si>
    <t>NS06045D19_P60_AC</t>
  </si>
  <si>
    <t>NS0606E17_P60_AC</t>
  </si>
  <si>
    <t>NS0606E25_P60_AC</t>
  </si>
  <si>
    <t>NS08075E22_P60_AC</t>
  </si>
  <si>
    <t>NS08075E32_P60_AC</t>
  </si>
  <si>
    <t>NS1009E26_P60_AC</t>
  </si>
  <si>
    <t>NS1009E38_P60_AC</t>
  </si>
  <si>
    <t>NS1010E30_P60_AC</t>
  </si>
  <si>
    <t>NS1010E44_P60_AC</t>
  </si>
  <si>
    <t>NS1212F34_P60_AC</t>
  </si>
  <si>
    <t>NS1212F50_P60_AC</t>
  </si>
  <si>
    <t>samt CNC!AV39</t>
  </si>
  <si>
    <t xml:space="preserve"> F</t>
  </si>
  <si>
    <t xml:space="preserve"> DR+ F</t>
  </si>
  <si>
    <t>1032, 3 pass, microfräsar, Heidenhain</t>
  </si>
  <si>
    <t xml:space="preserve"> LBL 103</t>
  </si>
  <si>
    <t xml:space="preserve"> FN 12: IF +Q2 LT +Q1 GOTO LBL 103</t>
  </si>
  <si>
    <t>l / d</t>
  </si>
  <si>
    <t>l/d</t>
  </si>
  <si>
    <t>NB-fräsar</t>
  </si>
  <si>
    <t>Fräs, NORMAL, 1 pass, Fanuc</t>
  </si>
  <si>
    <t>Fräs, NORMAL, 1 pass, Heidenhain</t>
  </si>
  <si>
    <t>Fräs, NORMAL, 2 pass, Fanuc</t>
  </si>
  <si>
    <t>Fräs, NORMAL, 2 pass, Heidenhain</t>
  </si>
  <si>
    <t>Fräs, NORMAL, 3 pass, Fanuc</t>
  </si>
  <si>
    <t>Fräs, NORMAL, 3 pass, Heidenhain</t>
  </si>
  <si>
    <t>Fräs, AXIELLT, 1 pass, Fanuc</t>
  </si>
  <si>
    <t>Fräs, AXIELLT, 1 pass, Heidenhain</t>
  </si>
  <si>
    <t>Fräs, AXIELLT, 2 pass, Fanuc</t>
  </si>
  <si>
    <t>Fräs, AXIELLT, 2 pass, Heidenhain</t>
  </si>
  <si>
    <t>Fräs, AXIELLT, 3 pass, Fanuc</t>
  </si>
  <si>
    <t>Fräs, AXIELLT, 3 pass, Heidenhain</t>
  </si>
  <si>
    <t>Fräs, MICRO, 1 pass, Fanuc</t>
  </si>
  <si>
    <t>Fräs, MICRO, 1 pass, Heidenhain</t>
  </si>
  <si>
    <t>Fräs, MICRO, 2 pass, Fanuc</t>
  </si>
  <si>
    <t>Fräs, MICRO, 2 pass, Heidenhain</t>
  </si>
  <si>
    <t>Fräs, MICRO, 3 pass, Fanuc</t>
  </si>
  <si>
    <t>Fräs, MICRO, 3 pass, Heidenhain</t>
  </si>
  <si>
    <t>Fräs, KONISK, 1 pass, Fanuc</t>
  </si>
  <si>
    <t>Fräs, KONISK, 1 pass, Heidenhain</t>
  </si>
  <si>
    <t>Fräs, KONISK, 2 pass, Fanuc</t>
  </si>
  <si>
    <t>Fräs, KONISK, 2 pass, Heidenhain</t>
  </si>
  <si>
    <t>Fräs, KONISK, 3 pass, Fanuc</t>
  </si>
  <si>
    <t>Fräs, KONISK, 3 pass, Heidenhain</t>
  </si>
  <si>
    <t>Svarv, NORMAL, 1 pass, Fanuc</t>
  </si>
  <si>
    <t>Svarv, NORMAL, 2 pass, Fanuc</t>
  </si>
  <si>
    <t>Svarv, NORMAL, 3 pass, Fanuc</t>
  </si>
  <si>
    <t>Svarv, AXIELLT, 1 pass, Fanuc</t>
  </si>
  <si>
    <t>Svarv, AXIELLT, 2 pass, Fanuc</t>
  </si>
  <si>
    <t>Svarv, AXIELLT, 3 pass, Fanuc</t>
  </si>
  <si>
    <t>Svarv, MICRO, 1 pass, Fanuc</t>
  </si>
  <si>
    <t>Svarv, MICRO, 2 pass, Fanuc</t>
  </si>
  <si>
    <t>Svarv, MICRO, 3 pass, Fanuc</t>
  </si>
  <si>
    <t>Svarv, KONISK, 1 pass, Fanuc</t>
  </si>
  <si>
    <t>Svarv, KONISK, 2 pass, Fanuc</t>
  </si>
  <si>
    <t>Svarv, KONISK, 3 pass, Fanuc</t>
  </si>
  <si>
    <t>info@hepyc.com</t>
  </si>
  <si>
    <t>www.hepyc.com</t>
  </si>
  <si>
    <t>Tel: (+34) 943 33 50 40</t>
  </si>
  <si>
    <t>Uvedené řezné parametry jsou pouze počáteční doporučené hodnoty. Je proto nutné je přizpůsobit dané situaci (např. tuhosti stroje, upnutí nástroje a obrobku, ...). Hepyc proto nebere žádnou odpovědnost za škody které mohou vzniknout neodborným použitím tohoto Kalkulátoru nebo CNC programu.</t>
  </si>
  <si>
    <t>De angivne skæredata er kun anbefalede startværdier. Der findes mange faktorer som kan påvirke, at der skal foretages justeringer, fx maskinstabilitet, værktøjsudrustning etc. Hepyc er ikke ansvarlig for skader som kan opstå i forb. med anvendelse af CNC programmet eller skæredata fra softwaren.</t>
  </si>
  <si>
    <t xml:space="preserve">Die angegebenen Schneidedaten sind nur empfohlene Startwerde. Es sind viele Faktoren, die Justierungen erforderlich machen können, z.B. die Stabilität der Maschine, die Werkzeugausrüstung etc. Hepyc haftet nicht für Schäden die entstehen können, wenn das CNC-Programm oder die Schneidedaten der Software verwendet werden. </t>
  </si>
  <si>
    <t>Mainitud lõikeandmed on ainult soovituslikud töö alustamiseks. On mitmeid tegureid mis võivad andmeid mõjutada, seega võib tekkida vajadus teha parandusi, näiteks stabiilsus, tööriistad, jne. Hepyc ei vastuta kahjude eest mis võivad tekkida kasutades CNC programmi või programmi poolt soovitatud lõikeandmeid.</t>
  </si>
  <si>
    <t>The mentioned cutting data are only recommended starting values. There are many things that can affect so it will be necessary to make adjustments, for example, machine stability, tooling equipment etc. Hepyc does not take any responsibility for damages that can occur when using the CNC program or cutting data recommended by the software.</t>
  </si>
  <si>
    <t>Las condiciones de corte que estan mencionadas son recomendadas para empezar. Hay muchos factores que pueden afectar para que uno tenga que hacer ajustes, por ejemplo la estabilidad de la maquina, herramientas etc. Hepyc no se responsabiliza de los daños que puedan ocurir cuando uno esta usando el Programa CNC y las condiciones de corte del programa.</t>
  </si>
  <si>
    <t>Gortearen estantzen duten aipatuta kondizioak lehenik gomendatzen dute. Eragin ahal duten batek akordioak egin behar izan ditzan faktore asko dago, egonkortasuna adibidez azpijokoa egiten du, erremintak etc. Hepyc ocuritu ahal izan dezaten kalteen ez da erantzule egiten bat hau Programa Cnc eta programaren gortearen kondizioak erabiltzean.</t>
  </si>
  <si>
    <t>Les conditions de coupe mentionnées sont seulement des préconisations. Il y a beaucoup de paramètres qui peuvent avoir une influence donc il est nécessaire de faire des ajustements, par exemple : stabilité de la machine, équipement de l'outillage…. Hepyc ne pourra être tenu responsable pour les dommages éventuels qui peuvent survenir lors de l'utilisation du programme CNC ou des conditions de coupe recommandées par le logiciel.</t>
  </si>
  <si>
    <t>I parametri di taglio consigliati sono valori di partenza. Ci sono molti fattori che possono influenzare, quindi è necessario operare correzioni, per esempio, stabilità della macchina, staffaggio e portautensile ecc. Hepyc declina ogni responsabilità per eventuali danni procurati dall'uso del programma CNC e dai parametri di taglio consigliati.</t>
  </si>
  <si>
    <t>Az itt szereplő forgácsolási adatok csak ajánlott kezdőértékek. Sok mindennek lehet olyan hatása, ami szükségessé teszi az adatok módosítását, például a gép stabilitása, a szerszámtartó, stb. A Hepyc cég nem vállal felelősséget a CNC program, vagy a szoftver által ajánlott forgácsolási adatok használata során keletkező esetleges károkért.</t>
  </si>
  <si>
    <t xml:space="preserve">De aangegeven snijgegevens zijn aanbevolen startgegevens. Er zijn verschillende factoren die deze waarden kunnen beïnvloeden, het is dus noodzakelijk aanpassingen te maken, bijvoorbeeld: machinestabiliteit, opnamegereedschap etc. Hepyc neemt geen enkele verantwoording voor schade welke kan ontstaan door het gebruik van het CNC programma of snijgegevens aanbevolen door de software.  </t>
  </si>
  <si>
    <t>Angitte skjærdata er anbefalte verdier. Det er mange faktorer som kan medføre justeringer, f.eks maskinstabilitet, verktøysystemer etc. Hepyc tar ikke ansvar for skader som kan oppstå når man anvender CNC programmet eller skjærdata fra databasen.</t>
  </si>
  <si>
    <t>Wymienione warunki skrawania są tylko propozycją do zastosowania  wartości początkowych.Jest wiele czynników mogących wpłynąć na proces więc dodatkowe ustawienie maszyny jest konieczne.Hepyc nie odpowiada za ewentualne uszkodzenia wynikłe  przy stosowaniu Programu CNC lub danych rekomendowanych przez program</t>
  </si>
  <si>
    <t>Os dados apresentados são apenas recomendações de inicio. São vários os fatores que devem ser considerados e consequentemente ajustamentos serão necessários. Por exemplo: estabilidade da maquina, materiais envolvidos, etc. Hepyc não se responsabiliza por danos causados pelo uso do programa ou dados recomendados.</t>
  </si>
  <si>
    <t>Datele de prelucrare mentionate sint doar valori recomandate la pornire. Multe aspecte pot influenta prelucrarea si trebuie facute modificari/ajustari, de exempu stabilitatea masinii, sculele, etc. Hepyc nu isi asuma responsabilitatea pentru defectiunile care apar atunci cind se utilizeaza programul CNC sau parametrii de prelucrare recomandati de software.</t>
  </si>
  <si>
    <t>Annetut työstäarvot ovat vain ohjeellisia lähtöarvoja. On monia tekiöitä jotka vaikuttavat työsöarvoihin mm tukevuus, työkalukiinnitys, ets. Hepyc ei vastaa vahingoista joita voi aiheutua käyttäessä CNC ohjelmaa taikka Työstöarvoja.</t>
  </si>
  <si>
    <t>Angivna skärdata är endast rekommenderade startvärden. Det finns många faktorer som kan påverka så att justeringar måste göras, t ex maskinstabilitet, verktygsutrustning etc. Hepyc ansvarar ej för skador som kan uppstå när man använder CNC programmet eller skärdata från mjukvaran.</t>
  </si>
  <si>
    <t>Вышеприведенные характеристики резки являются только рекомендуемыми начальными значениями. Влияние имеют многие факторы, требующие внести поправки, например стабильность машины, инструментальная оснастка и пр. Hepyc не несет никакой ответственности за ущерб, причиненный в связи с использованием программы ЧПУ или данных по резьбе, рекомендуемых программным обеспечением.</t>
  </si>
  <si>
    <t>本程式所提供的數值均為建議值，適當的切削條件仍視機器狀況、夾具品質、冷卻油使用…等等而改變。因此若因本CNC程式造成的任何損失Hepyc恕無法負責。</t>
  </si>
  <si>
    <t xml:space="preserve">这里的切削参数应视为推荐使用的初始设置值。这些参数会受很多因素的影响，例如，机床的稳定性、工具系统的因素等等，因此有必要做调整。Hepyc声明, 对使用这里的CNC程序或使用所推荐的切削参数而可能产生的不良后果不承担任何责任。 </t>
  </si>
  <si>
    <t>언급된 절삭조건은 오로지 추천되는 시작값입니다. 영향을 미칠 수 있는 많은 사항들이 있으므로 조정할 필요가 있습니다. 예를 들어, 기계의 안정성, 툴링 장치 등   입니다. Hepyc 은 소프트웨어에 의해 추천된 CNC 프로그램을 사용하거나 또는   절삭조건를 사용할 때 발생할 수 있는 손상에 대해서는, 어떠한 책임도 지지 않습니다.</t>
  </si>
  <si>
    <t>Hepyc měří každou jednotlivou frézu a přesná hodnota průměru frézy je VYLASEROVANÁ NA STOPCE každého nástroje. Tento rozměr pro danou frézu zadejte do POLÍČKA č.5. S největší pravděpodobností bude již první závit v toleranci. Pokud potřebuje přesto udělat korekci, je možno ji udělat opět v políčku č.5 nebo přímo v řídícím systému stroje.</t>
  </si>
  <si>
    <t>På gevindfræserne fra Hepyc er mediandiameteren opmålt optisk og siden er den teoretiske yderdiamter lasermærket på værktøjet. Dette mål bør indskrives i rubrikken ved siden af fræserens skærediamter (rubrik 5). Med høj sandsynlighed vil man således opnå et korrekt gevind, første gang. Hvis der skal foretages justeringer, kan dette gøres i samme runbrik, alternativt  i værktøjsbiblioteket på styresystemet</t>
  </si>
  <si>
    <t>An Gewinde-Fräsern von Hepyc wurde der Durchnitts-Durchmesser optisch gemessen, wonach der theoretische Außendurchmesser am Werkzeug mit dem Laser markiert wurde. Dieses Maß sollte im Kästchen neben des Fräsers-Durchmesser (Kästchen Nr. 5) eingegeben werden. Höchst wahrscheinlich werden Sie sofort ein korrektes Gewinde erreichen. Falls danach weitere Justierungen erforderlich sein sollten, können Sie diese nochmals im gleichen Kästchen oder durch die Werkzeugbibliothek des Steuerungssystems machen.</t>
  </si>
  <si>
    <t>Hepyc'i keermefreeside keerme keskläbimõõt on optiliselt mõõdetud ja teoreetiline välisläbimõõt on igale freesile eraldi laseriga märgitud. See suurus tuleb märkida lahtrisse freesi läbimõõt (lahter 5). Enamusel juhtudest saad kohe õige keerme. Juhul kui on vaja teha muudatusi saad neid teha samas lahtris või töötlemis andmete kontroll süsteemis.</t>
  </si>
  <si>
    <t>The pitch diameter have been optically messured on thread mills from Hepyc and the theoretical external diameter has been individually laser market on each cutter. This measurement shall be noted in the square beside cutter diameter (square 5). You will most probably get a correct thread straight away. In case you need to make adjustments you can do this in the same square or in the tooling library of the control system.</t>
  </si>
  <si>
    <t>El diámetro medio de las fresas de roscar de Hepyc está medido ópticamente y después se han marcado con láser el diámetro teórico de la fresa. Esta medida se debe poner en el cuadro que está al lado del diámetro del corte (cuadro 5). Es muy probable que vayas a realizar una rosca correcta directamente. Si necesitas hacer ajustes después se puede hacer en el mismo cuadro o en la biblioteca del control numérico.</t>
  </si>
  <si>
    <t>Hepycen hariztatzeko marrubien diametro erdiak ópticamente neurtu eta gero laserrarekin markatu dute marrubiaren diametro teorikoa. Neurri honek mozketaren diametroaren ondoan dagoen koadroan jarri behar du (koadro 5). Da oso probablea hara uztai zuzen bat egitera zuzenean. Akordioak gero egitea behar baduzu egin ahal da bera koadroan edo zenbakizko kontrolen bibliotekan.</t>
  </si>
  <si>
    <t>Le diamètre de pas a été mesuré par voie optique sur les fraises à fileter de Hepyc et le diamètre externe théorique est gravé au laser sur chaque fraise. Ces mesures doivent être renseignées dans la plage à côté du diamètre de la fraise (plage 5). Vous allez très probablement obtenir un filetage correct dès le début. Au cas ou un ajustement s'avèrerait nécessaire, vous pouvez le faire dans la même plage ou dans la librairie d'outillage du système de contrôle.</t>
  </si>
  <si>
    <t>Il diametro massimo della fresa a filettare è stato misurato otticamente da Hepyc ed il diametro esterno teorico è stato marcato a laser su ogni fresa. Questa misura può essere annotata nel riquadro n.5. ottenendo subito un filetto corretto. Nel caso dobbiate fare registrazioni, le potete fare nello stesso riquadro o nella libreria utensili del sistema di controllo.</t>
  </si>
  <si>
    <t>A Hepyc menetmarókon a középátmérőt optikailag megmérik és elméleti külső átmérőt lézerjelöléssel feltüntetik minden egyes marón. Ezt az értéket be kell írni a maró átmérő melletti mezőbe (5 jelű). Nagy valószínűséggel így azonnal korrekt menetméretet fog kapni. Ha mégis korrigálni kell, ezt megteheti ugyanebben a mezőben, vagy a vezérlés szerszám könyvtárában.</t>
  </si>
  <si>
    <t>Aan de frezen van Hepyc zijn de doorsnede-diameter optisch gemeten, waarna de theoretische buitendiameter op de frees met een laser gemarkeerd is.Deze maat zou in het ingave veld naast de freesdiameter (Veldnr. 5) moeten worden ingegeven. Hoogstwaarschijnlijk zult u direct een correcte draad verkrijgen. Als nadien verdere afstemmingen noodzakelijk zijn dan kunt u deze nogmaals in dit veld aanpassen of in de gereedschapsmap van het besturingssysteem.</t>
  </si>
  <si>
    <t>På gjengefresene fra Hepyc er middeldiameteren målt optisk for deretter å lasermerke teoretisk ytterdiameter på verktøyet. Målet bør skrives i ruten ved siden av ytterdiameter på verktøyet ( rute 5). Du vil sannsynligvis få en riktig gjenge.</t>
  </si>
  <si>
    <t>Wartość skoku głowicy freza Hepyc jest zmieżona przez układoptyczny a teoretyczna średnica zewnętrzna jest podana na każdym frezie. Te dane powinny być wpisane w 5-tym polu formularza. Po wprowadzeniu  tych danych otrzymacie Państwo właściwy gwint. W przypadku konieczności kompensaty położenia można tego dokonać w tym samym polu lub w bibliotece narzędziowej systemu kontrolnego.</t>
  </si>
  <si>
    <t>Nas fresas de rosca da Hepyc o diâmetro médio é medido opticamente e o diâmetro teórico imprimido com lazer na fresa. O valor imprimido deve ser digitado no quadrado nr:5, ao lado do diâmetro de trabalho da fresa. A probabilidade da rosca ser correta já de inicio é grande. No caso de você precisar fazer algum ajustamento é só mudar de novo o quadrado nr:5 ou na biblioteca do controle numérico.</t>
  </si>
  <si>
    <t>Diametrul mediu este masurat optic la frezele Hepyc, iar diametrul exterior teoretic este inscriptionat cu laser pe fiecare scula.
Aceasta valoare masurata este notata in cimpul aferent diametrului de taiere (cimpul 5). Se obtine astfel un filet aproximativ corect. In cazul in care trebuie sa faceti ajustari, acestea pot fi facute in acelasi cimp sau in baza de date a sistemului de comanda.</t>
  </si>
  <si>
    <t>Hepycin jyrsimissä on keskihalkaisia mitattu optisesti ja teoreettinen ulkohalkaisia laasermerkattu.Tämä mitta siirretään ruutuun 5. Todennäköisesti syntyy täydellinen kierre.Jos tarvetta säätöihin voit tehdä ruudussa.</t>
  </si>
  <si>
    <t>På gängfräsar från Hepyc är medeldiametern uppmätt optiskt och sedan har man lasermärkt den teoretiska ytterdiametern på verktyget. Detta mått bör föras in på rutan som är bredvid fräsens skärdiameter (ruta 5). Med största sannolikhet kommer du direkt att få en korrekt gänga. Ifall du därefter behöver göra justeringar kan du göra detta på samma ruta igen eller i verktygsbiblioteket på styrsystemet.</t>
  </si>
  <si>
    <t>Диаметр шага измерен оптически на резьбовых фрезах Hepyc и теоретический внешний диаметр был индивидуально нанесен лазером на каждый резак. Измерение будет отмечено в квадрате рядом с диаметром резака (квадрат 5). С большой вероятностью вы сразу же получите правильную резьбу. В случае, если вам нужно внести изменения, вы можете сделать это прямо в том же квадрате или в библиотеке инструментов системы управления.</t>
  </si>
  <si>
    <t>通常Hepyc會將銑牙刀的外徑以雷射刻在每支銑牙刀的柄上，您可將此外徑登錄到方塊5中以取得更精確的切削數據。</t>
  </si>
  <si>
    <t>Hepyc采用光学方法精确测量出螺纹铣刀的螺纹中径，刀具的理论最大外径就用激光直接标记在每一把刀具上。测量结果应填入的位置在“刀具直径”一栏旁边的空格内（第5格）。通常不经修正就可以直接得到准确的螺纹直径。一旦有必要做出修正时，你可以就在这一栏的空格内做出调整，或者也可以调整控制系统的刀库文件中的数值。</t>
  </si>
  <si>
    <t xml:space="preserve">Hepyc 의 쓰레드 밀에서 피치 직경은 광학적으로 측정되었고, 이론상의 외부      직경은 각각의 공구에 레이져 마킹 되어 있습니다.                                              이 측정값은 공구 직경(사각형 칸 5) 옆의 사각형 칸에 기록되어야 한다.               당신은 아마도 올바른 나사를 바로 얻을 것입니다. 조정할 필요가 있을 경우, 같은 사각형 칸에서 또는 콘트롤 시스템의 툴링 라이브러리에서 이것을 할 수 있습니다. </t>
  </si>
  <si>
    <t>Il programma genera automaticamente una spirale dall'inizio fino alla fine del filetto quando scegliete una fresa Hepyc tipo NM con uno o due denti. Se volete fare lo stesso con unaltro utensile, dovete registrare il passo come lunghezza di taglio nel riquadro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</si>
</sst>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38">
    <font>
      <sz val="10"/>
      <name val="Verdana"/>
    </font>
    <font>
      <b/>
      <sz val="10"/>
      <name val="Verdana"/>
      <family val="2"/>
    </font>
    <font>
      <sz val="10"/>
      <name val="Verdana"/>
      <family val="2"/>
    </font>
    <font>
      <u/>
      <sz val="10"/>
      <color indexed="12"/>
      <name val="Verdana"/>
      <family val="2"/>
    </font>
    <font>
      <sz val="8"/>
      <name val="Verdana"/>
      <family val="2"/>
    </font>
    <font>
      <sz val="9"/>
      <name val="Verdana"/>
      <family val="2"/>
    </font>
    <font>
      <b/>
      <u/>
      <sz val="10"/>
      <name val="Verdana"/>
      <family val="2"/>
    </font>
    <font>
      <b/>
      <sz val="9"/>
      <name val="Verdana"/>
      <family val="2"/>
    </font>
    <font>
      <b/>
      <sz val="9"/>
      <color indexed="10"/>
      <name val="Verdana"/>
      <family val="2"/>
    </font>
    <font>
      <u/>
      <sz val="9"/>
      <color indexed="12"/>
      <name val="Verdana"/>
      <family val="2"/>
    </font>
    <font>
      <b/>
      <sz val="11"/>
      <name val="Verdana"/>
      <family val="2"/>
    </font>
    <font>
      <sz val="10"/>
      <name val="Verdana"/>
      <family val="2"/>
    </font>
    <font>
      <b/>
      <sz val="11"/>
      <color indexed="10"/>
      <name val="Verdana"/>
      <family val="2"/>
    </font>
    <font>
      <sz val="9"/>
      <name val="Arial"/>
      <family val="2"/>
    </font>
    <font>
      <b/>
      <sz val="11"/>
      <name val="Arial"/>
      <family val="2"/>
    </font>
    <font>
      <sz val="11"/>
      <name val="Arial"/>
      <family val="2"/>
    </font>
    <font>
      <sz val="10"/>
      <name val="細明體"/>
      <family val="3"/>
      <charset val="136"/>
    </font>
    <font>
      <sz val="9"/>
      <name val="細明體"/>
      <family val="3"/>
      <charset val="136"/>
    </font>
    <font>
      <sz val="9"/>
      <name val="돋움"/>
      <family val="3"/>
    </font>
    <font>
      <b/>
      <sz val="11"/>
      <name val="돋움"/>
      <family val="3"/>
    </font>
    <font>
      <sz val="9"/>
      <name val="ＭＳ Ｐゴシック"/>
      <family val="3"/>
      <charset val="128"/>
    </font>
    <font>
      <b/>
      <sz val="9"/>
      <name val="ＭＳ Ｐゴシック"/>
      <family val="2"/>
      <charset val="128"/>
    </font>
    <font>
      <b/>
      <sz val="10"/>
      <name val="ＭＳ Ｐゴシック"/>
      <family val="3"/>
      <charset val="128"/>
    </font>
    <font>
      <sz val="10"/>
      <name val="宋体"/>
      <charset val="134"/>
    </font>
    <font>
      <sz val="10"/>
      <name val="Arial"/>
      <family val="2"/>
    </font>
    <font>
      <sz val="10"/>
      <color indexed="8"/>
      <name val="宋体"/>
      <charset val="134"/>
    </font>
    <font>
      <sz val="10"/>
      <color indexed="8"/>
      <name val="Arial"/>
      <family val="2"/>
    </font>
    <font>
      <b/>
      <sz val="11"/>
      <name val="宋体"/>
      <charset val="134"/>
    </font>
    <font>
      <sz val="9"/>
      <name val="宋体"/>
      <charset val="134"/>
    </font>
    <font>
      <b/>
      <sz val="9"/>
      <name val="宋体"/>
      <charset val="134"/>
    </font>
    <font>
      <sz val="10"/>
      <color theme="1"/>
      <name val="Verdana"/>
      <family val="2"/>
    </font>
    <font>
      <b/>
      <sz val="10"/>
      <name val="Verdana"/>
      <family val="2"/>
    </font>
    <font>
      <sz val="11"/>
      <name val="Verdana"/>
      <family val="2"/>
    </font>
    <font>
      <u/>
      <sz val="11"/>
      <color indexed="12"/>
      <name val="Verdana"/>
      <family val="2"/>
    </font>
    <font>
      <b/>
      <u/>
      <sz val="14"/>
      <name val="Verdana"/>
      <family val="2"/>
    </font>
    <font>
      <b/>
      <sz val="28"/>
      <color theme="1"/>
      <name val="Verdana"/>
      <family val="2"/>
    </font>
    <font>
      <b/>
      <sz val="11"/>
      <color theme="4" tint="-0.249977111117893"/>
      <name val="Verdana"/>
      <family val="2"/>
    </font>
    <font>
      <u/>
      <sz val="10"/>
      <color theme="11"/>
      <name val="Verdana"/>
      <family val="2"/>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FF99CC"/>
        <bgColor rgb="FF000000"/>
      </patternFill>
    </fill>
    <fill>
      <patternFill patternType="lightGrid">
        <fgColor rgb="FFF5F5F5"/>
        <bgColor theme="0" tint="-4.9989318521683403E-2"/>
      </patternFill>
    </fill>
  </fills>
  <borders count="4">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50">
    <xf numFmtId="0" fontId="0" fillId="0" borderId="0"/>
    <xf numFmtId="0" fontId="3" fillId="0" borderId="0" applyNumberFormat="0" applyFill="0" applyBorder="0" applyAlignment="0" applyProtection="0">
      <alignment vertical="top"/>
      <protection locked="0"/>
    </xf>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cellStyleXfs>
  <cellXfs count="171">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0" fontId="5" fillId="0" borderId="0" xfId="0" applyFont="1" applyFill="1" applyAlignment="1"/>
    <xf numFmtId="1" fontId="5" fillId="0" borderId="0" xfId="0" applyNumberFormat="1" applyFont="1" applyAlignment="1">
      <alignment horizontal="center"/>
    </xf>
    <xf numFmtId="2" fontId="7"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applyAlignment="1">
      <alignment horizontal="center"/>
    </xf>
    <xf numFmtId="2" fontId="5" fillId="0" borderId="0" xfId="0" applyNumberFormat="1" applyFont="1" applyAlignment="1">
      <alignment horizontal="center"/>
    </xf>
    <xf numFmtId="164" fontId="5" fillId="0" borderId="0" xfId="0" applyNumberFormat="1" applyFont="1" applyAlignment="1">
      <alignment horizontal="center"/>
    </xf>
    <xf numFmtId="164" fontId="5" fillId="2" borderId="0" xfId="0" applyNumberFormat="1" applyFont="1" applyFill="1" applyAlignment="1">
      <alignment horizontal="center"/>
    </xf>
    <xf numFmtId="0" fontId="7" fillId="0" borderId="0" xfId="0" applyFont="1" applyFill="1" applyAlignment="1">
      <alignment horizontal="center"/>
    </xf>
    <xf numFmtId="165" fontId="7" fillId="0" borderId="0" xfId="0" applyNumberFormat="1" applyFont="1" applyAlignment="1">
      <alignment horizontal="center"/>
    </xf>
    <xf numFmtId="1" fontId="7" fillId="0" borderId="0" xfId="0" applyNumberFormat="1" applyFont="1" applyAlignment="1">
      <alignment horizontal="center"/>
    </xf>
    <xf numFmtId="164" fontId="7" fillId="0" borderId="0" xfId="0" applyNumberFormat="1" applyFont="1" applyAlignment="1">
      <alignment horizontal="center"/>
    </xf>
    <xf numFmtId="1" fontId="7" fillId="0" borderId="0" xfId="0" applyNumberFormat="1" applyFont="1" applyFill="1" applyAlignment="1">
      <alignment horizontal="center"/>
    </xf>
    <xf numFmtId="0" fontId="5" fillId="0" borderId="0" xfId="0" applyNumberFormat="1" applyFont="1" applyAlignment="1">
      <alignment horizontal="center"/>
    </xf>
    <xf numFmtId="0" fontId="5" fillId="0" borderId="0" xfId="0" applyNumberFormat="1" applyFont="1" applyFill="1" applyAlignment="1">
      <alignment horizontal="center"/>
    </xf>
    <xf numFmtId="0" fontId="5" fillId="2" borderId="0" xfId="0" applyFont="1" applyFill="1" applyAlignment="1">
      <alignment horizontal="center"/>
    </xf>
    <xf numFmtId="0" fontId="5" fillId="0" borderId="0" xfId="0" applyFont="1" applyFill="1" applyAlignment="1">
      <alignment horizontal="center"/>
    </xf>
    <xf numFmtId="0" fontId="5" fillId="3" borderId="0" xfId="0" applyFont="1" applyFill="1" applyAlignment="1">
      <alignment horizontal="center"/>
    </xf>
    <xf numFmtId="0" fontId="5" fillId="4" borderId="0" xfId="0" applyNumberFormat="1" applyFont="1" applyFill="1" applyAlignment="1">
      <alignment horizontal="center"/>
    </xf>
    <xf numFmtId="0" fontId="0" fillId="0" borderId="0" xfId="0" applyFill="1"/>
    <xf numFmtId="0" fontId="0" fillId="0" borderId="0" xfId="0" applyAlignment="1">
      <alignment horizontal="center"/>
    </xf>
    <xf numFmtId="164" fontId="0" fillId="3" borderId="0" xfId="0" applyNumberFormat="1" applyFill="1" applyAlignment="1">
      <alignment horizontal="center"/>
    </xf>
    <xf numFmtId="0" fontId="0" fillId="2" borderId="0" xfId="0" applyFill="1" applyAlignment="1">
      <alignment horizontal="center"/>
    </xf>
    <xf numFmtId="2" fontId="0" fillId="0" borderId="0" xfId="0" applyNumberFormat="1" applyAlignment="1">
      <alignment horizontal="center"/>
    </xf>
    <xf numFmtId="165" fontId="0" fillId="0" borderId="0" xfId="0" applyNumberFormat="1" applyAlignment="1">
      <alignment horizontal="center"/>
    </xf>
    <xf numFmtId="2" fontId="0" fillId="3" borderId="0" xfId="0" applyNumberFormat="1" applyFill="1" applyAlignment="1">
      <alignment horizontal="center"/>
    </xf>
    <xf numFmtId="2" fontId="5" fillId="0" borderId="0" xfId="0" applyNumberFormat="1" applyFont="1" applyFill="1" applyAlignment="1">
      <alignment horizontal="center"/>
    </xf>
    <xf numFmtId="2" fontId="5" fillId="0" borderId="0" xfId="0" applyNumberFormat="1" applyFont="1" applyAlignment="1">
      <alignment horizontal="left"/>
    </xf>
    <xf numFmtId="0" fontId="5" fillId="0" borderId="0" xfId="0" applyFont="1" applyAlignment="1">
      <alignment horizontal="center"/>
    </xf>
    <xf numFmtId="0" fontId="5" fillId="0" borderId="0" xfId="0" applyFont="1"/>
    <xf numFmtId="164" fontId="0" fillId="0" borderId="0" xfId="0" applyNumberFormat="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7" fillId="0" borderId="0" xfId="0" applyNumberFormat="1" applyFont="1" applyAlignment="1">
      <alignment horizontal="center"/>
    </xf>
    <xf numFmtId="0" fontId="5" fillId="2" borderId="0" xfId="0" applyNumberFormat="1" applyFont="1" applyFill="1" applyAlignment="1">
      <alignment horizontal="center"/>
    </xf>
    <xf numFmtId="0" fontId="6" fillId="0" borderId="0" xfId="0" applyFont="1" applyFill="1" applyAlignment="1"/>
    <xf numFmtId="0" fontId="0" fillId="0" borderId="0" xfId="0" applyFill="1" applyAlignment="1">
      <alignment horizontal="center"/>
    </xf>
    <xf numFmtId="0" fontId="5" fillId="0" borderId="0" xfId="0" applyFont="1" applyAlignment="1">
      <alignment horizontal="left"/>
    </xf>
    <xf numFmtId="0" fontId="5" fillId="0" borderId="0" xfId="0" applyNumberFormat="1" applyFont="1" applyAlignment="1">
      <alignment horizontal="left"/>
    </xf>
    <xf numFmtId="0" fontId="0" fillId="3" borderId="0" xfId="0" applyFill="1"/>
    <xf numFmtId="0" fontId="5" fillId="3" borderId="0" xfId="0" applyNumberFormat="1" applyFont="1" applyFill="1" applyAlignment="1">
      <alignment horizontal="center"/>
    </xf>
    <xf numFmtId="0" fontId="0" fillId="3" borderId="0" xfId="0" applyFill="1" applyAlignment="1">
      <alignment horizontal="center"/>
    </xf>
    <xf numFmtId="0" fontId="7" fillId="3" borderId="0" xfId="0" applyNumberFormat="1" applyFont="1" applyFill="1" applyAlignment="1">
      <alignment horizontal="center"/>
    </xf>
    <xf numFmtId="0" fontId="0" fillId="2" borderId="0" xfId="0" applyNumberFormat="1" applyFill="1" applyAlignment="1">
      <alignment horizontal="center"/>
    </xf>
    <xf numFmtId="0" fontId="5" fillId="0" borderId="0" xfId="0" applyFont="1" applyFill="1"/>
    <xf numFmtId="0" fontId="5" fillId="3" borderId="0" xfId="0" applyFont="1" applyFill="1"/>
    <xf numFmtId="0" fontId="10" fillId="3" borderId="0" xfId="0" applyFont="1" applyFill="1" applyAlignment="1">
      <alignment wrapText="1"/>
    </xf>
    <xf numFmtId="0" fontId="5" fillId="3" borderId="0" xfId="0" applyFont="1" applyFill="1" applyAlignment="1">
      <alignment vertical="top" wrapText="1"/>
    </xf>
    <xf numFmtId="0" fontId="5" fillId="3" borderId="0" xfId="0" applyFont="1" applyFill="1" applyAlignment="1">
      <alignment wrapText="1"/>
    </xf>
    <xf numFmtId="0" fontId="10" fillId="0" borderId="0" xfId="0" applyFont="1" applyFill="1" applyAlignment="1">
      <alignment wrapText="1"/>
    </xf>
    <xf numFmtId="0" fontId="5" fillId="0" borderId="0" xfId="0" applyFont="1" applyFill="1" applyAlignment="1">
      <alignment vertical="top" wrapText="1"/>
    </xf>
    <xf numFmtId="0" fontId="5" fillId="0" borderId="0" xfId="0" applyFont="1" applyFill="1" applyAlignment="1">
      <alignment wrapText="1"/>
    </xf>
    <xf numFmtId="2" fontId="1" fillId="0" borderId="0" xfId="0" applyNumberFormat="1" applyFont="1" applyAlignment="1">
      <alignment horizontal="right"/>
    </xf>
    <xf numFmtId="0" fontId="0" fillId="4" borderId="0" xfId="0" applyFill="1" applyAlignment="1" applyProtection="1">
      <alignment horizontal="center"/>
      <protection locked="0"/>
    </xf>
    <xf numFmtId="14" fontId="5" fillId="0" borderId="0" xfId="0" applyNumberFormat="1" applyFont="1"/>
    <xf numFmtId="0" fontId="12" fillId="3" borderId="0" xfId="0" applyFont="1" applyFill="1" applyAlignment="1">
      <alignment wrapText="1"/>
    </xf>
    <xf numFmtId="0" fontId="0" fillId="0" borderId="0" xfId="0" applyBorder="1"/>
    <xf numFmtId="0" fontId="5" fillId="0" borderId="0" xfId="0" applyFont="1" applyBorder="1"/>
    <xf numFmtId="0" fontId="5" fillId="0" borderId="0" xfId="0" applyNumberFormat="1" applyFont="1" applyBorder="1" applyAlignment="1">
      <alignment horizontal="left"/>
    </xf>
    <xf numFmtId="0" fontId="5" fillId="0" borderId="0" xfId="0" applyFont="1" applyBorder="1" applyAlignment="1">
      <alignment horizontal="left"/>
    </xf>
    <xf numFmtId="0" fontId="10" fillId="0" borderId="0" xfId="0" applyFont="1" applyBorder="1"/>
    <xf numFmtId="0" fontId="5" fillId="0" borderId="0" xfId="0" applyFont="1" applyBorder="1" applyAlignment="1">
      <alignment vertical="top" wrapText="1"/>
    </xf>
    <xf numFmtId="0" fontId="10" fillId="0" borderId="0" xfId="0" applyFont="1"/>
    <xf numFmtId="0" fontId="5" fillId="0" borderId="0" xfId="0" applyFont="1" applyAlignment="1">
      <alignment vertical="top" wrapText="1"/>
    </xf>
    <xf numFmtId="0" fontId="5" fillId="0" borderId="0" xfId="0" applyFont="1" applyAlignment="1">
      <alignment vertical="top"/>
    </xf>
    <xf numFmtId="0" fontId="10" fillId="0" borderId="0" xfId="0" applyFont="1" applyAlignment="1">
      <alignment vertical="top"/>
    </xf>
    <xf numFmtId="0" fontId="0" fillId="0" borderId="0" xfId="0" applyAlignment="1">
      <alignment wrapText="1"/>
    </xf>
    <xf numFmtId="0" fontId="1" fillId="0" borderId="0" xfId="0" applyFont="1" applyAlignment="1">
      <alignment wrapText="1"/>
    </xf>
    <xf numFmtId="0" fontId="13" fillId="0" borderId="0" xfId="0" applyFont="1" applyAlignment="1">
      <alignment wrapText="1"/>
    </xf>
    <xf numFmtId="0" fontId="14" fillId="0" borderId="0" xfId="0" applyFont="1" applyAlignment="1">
      <alignment wrapText="1"/>
    </xf>
    <xf numFmtId="0" fontId="15" fillId="0" borderId="0" xfId="0" applyFont="1" applyAlignment="1">
      <alignment wrapText="1"/>
    </xf>
    <xf numFmtId="0" fontId="17" fillId="0" borderId="0" xfId="0" applyFont="1" applyFill="1" applyAlignment="1"/>
    <xf numFmtId="0" fontId="17" fillId="0" borderId="0" xfId="0" applyFont="1" applyFill="1"/>
    <xf numFmtId="0" fontId="17" fillId="0" borderId="0" xfId="0" applyFont="1"/>
    <xf numFmtId="0" fontId="16" fillId="0" borderId="0" xfId="0" applyFont="1" applyAlignment="1">
      <alignment wrapText="1"/>
    </xf>
    <xf numFmtId="0" fontId="2" fillId="0" borderId="0" xfId="0" applyFont="1" applyAlignment="1">
      <alignment wrapText="1"/>
    </xf>
    <xf numFmtId="0" fontId="5" fillId="0" borderId="0" xfId="0" applyFont="1" applyFill="1" applyAlignment="1">
      <alignment horizontal="left" vertical="top" wrapText="1"/>
    </xf>
    <xf numFmtId="0" fontId="18" fillId="0" borderId="0" xfId="0" applyFont="1" applyFill="1" applyAlignment="1"/>
    <xf numFmtId="0" fontId="18" fillId="0" borderId="0" xfId="0" applyFont="1" applyFill="1"/>
    <xf numFmtId="0" fontId="18" fillId="0" borderId="0" xfId="0" applyFont="1"/>
    <xf numFmtId="0" fontId="19" fillId="0" borderId="0" xfId="0" applyFont="1" applyAlignment="1">
      <alignment vertical="top" wrapText="1"/>
    </xf>
    <xf numFmtId="0" fontId="0" fillId="0" borderId="0" xfId="0" applyAlignment="1">
      <alignment vertical="top" wrapText="1"/>
    </xf>
    <xf numFmtId="0" fontId="20" fillId="0" borderId="0" xfId="0" applyFont="1"/>
    <xf numFmtId="0" fontId="21" fillId="0" borderId="0" xfId="0" applyFont="1" applyAlignment="1">
      <alignment horizontal="center"/>
    </xf>
    <xf numFmtId="0" fontId="22" fillId="0" borderId="0" xfId="0" applyFont="1"/>
    <xf numFmtId="0" fontId="22" fillId="0" borderId="0" xfId="0" applyFont="1" applyFill="1"/>
    <xf numFmtId="0" fontId="23" fillId="0" borderId="0" xfId="0" applyFont="1"/>
    <xf numFmtId="0" fontId="24" fillId="0" borderId="0" xfId="0" applyFont="1"/>
    <xf numFmtId="0" fontId="25" fillId="0" borderId="0" xfId="0" applyFont="1"/>
    <xf numFmtId="0" fontId="27" fillId="0" borderId="0" xfId="0" applyFont="1" applyAlignment="1">
      <alignment horizontal="left" vertical="top"/>
    </xf>
    <xf numFmtId="0" fontId="28" fillId="0" borderId="0" xfId="0" applyFont="1" applyAlignment="1">
      <alignment horizontal="left" vertical="top" wrapText="1"/>
    </xf>
    <xf numFmtId="0" fontId="24" fillId="0" borderId="0" xfId="0" applyFont="1" applyAlignment="1">
      <alignment horizontal="left" vertical="top"/>
    </xf>
    <xf numFmtId="0" fontId="13" fillId="0" borderId="0" xfId="0" applyFont="1" applyAlignment="1">
      <alignment horizontal="left" vertical="top" wrapText="1"/>
    </xf>
    <xf numFmtId="0" fontId="28" fillId="0" borderId="0" xfId="0" applyFont="1" applyAlignment="1">
      <alignment horizontal="left" vertical="top"/>
    </xf>
    <xf numFmtId="0" fontId="29" fillId="0" borderId="0" xfId="0" applyFont="1" applyAlignment="1">
      <alignment horizontal="center"/>
    </xf>
    <xf numFmtId="0" fontId="28" fillId="0" borderId="0" xfId="0" applyFont="1" applyAlignment="1"/>
    <xf numFmtId="0" fontId="13" fillId="0" borderId="0" xfId="0" applyFont="1" applyAlignment="1">
      <alignment vertical="top" wrapText="1"/>
    </xf>
    <xf numFmtId="0" fontId="18" fillId="0" borderId="0" xfId="0" applyFont="1" applyAlignment="1">
      <alignment vertical="top" wrapText="1"/>
    </xf>
    <xf numFmtId="0" fontId="5" fillId="3" borderId="0" xfId="0" applyFont="1" applyFill="1" applyAlignment="1">
      <alignment vertical="top"/>
    </xf>
    <xf numFmtId="0" fontId="20" fillId="0" borderId="0" xfId="0" applyFont="1" applyAlignment="1">
      <alignment vertical="top" wrapText="1" shrinkToFit="1"/>
    </xf>
    <xf numFmtId="0" fontId="17" fillId="0" borderId="0" xfId="0" applyFont="1" applyFill="1" applyBorder="1" applyAlignment="1">
      <alignment horizontal="left" vertical="top" wrapText="1"/>
    </xf>
    <xf numFmtId="0" fontId="20" fillId="0" borderId="0" xfId="0" applyFont="1" applyAlignment="1">
      <alignment vertical="top" wrapText="1"/>
    </xf>
    <xf numFmtId="0" fontId="17" fillId="0" borderId="0" xfId="0" applyFont="1" applyAlignment="1">
      <alignment vertical="top" wrapText="1"/>
    </xf>
    <xf numFmtId="0" fontId="20" fillId="0" borderId="0" xfId="0" applyFont="1" applyFill="1" applyAlignment="1">
      <alignment vertical="top" wrapText="1"/>
    </xf>
    <xf numFmtId="0" fontId="5" fillId="0" borderId="0" xfId="0" applyFont="1" applyAlignment="1">
      <alignment horizontal="left" vertical="top" wrapText="1"/>
    </xf>
    <xf numFmtId="0" fontId="20" fillId="0" borderId="0" xfId="0" applyFont="1" applyAlignment="1">
      <alignment vertical="top"/>
    </xf>
    <xf numFmtId="0" fontId="9" fillId="3" borderId="0" xfId="1" applyFont="1" applyFill="1" applyAlignment="1" applyProtection="1">
      <alignment horizontal="center" vertical="top"/>
    </xf>
    <xf numFmtId="0" fontId="5" fillId="0" borderId="0" xfId="0" applyFont="1" applyBorder="1" applyAlignment="1">
      <alignment vertical="top"/>
    </xf>
    <xf numFmtId="0" fontId="5" fillId="0" borderId="0" xfId="0" applyFont="1" applyFill="1" applyAlignment="1">
      <alignment vertical="top"/>
    </xf>
    <xf numFmtId="0" fontId="5" fillId="3" borderId="0" xfId="0" applyNumberFormat="1" applyFont="1" applyFill="1"/>
    <xf numFmtId="0" fontId="7" fillId="3" borderId="0" xfId="0" applyFont="1" applyFill="1" applyAlignment="1">
      <alignment horizontal="center"/>
    </xf>
    <xf numFmtId="0" fontId="6" fillId="0" borderId="0" xfId="0" applyFont="1" applyFill="1" applyAlignment="1">
      <alignment horizontal="left"/>
    </xf>
    <xf numFmtId="0" fontId="2" fillId="0" borderId="0" xfId="0" applyFont="1" applyAlignment="1">
      <alignment horizontal="center"/>
    </xf>
    <xf numFmtId="0" fontId="11" fillId="0" borderId="0" xfId="0" applyFont="1" applyAlignment="1">
      <alignment horizontal="center"/>
    </xf>
    <xf numFmtId="0" fontId="11" fillId="0" borderId="0" xfId="0" applyNumberFormat="1" applyFont="1" applyAlignment="1">
      <alignment horizontal="center"/>
    </xf>
    <xf numFmtId="1" fontId="11" fillId="0" borderId="0" xfId="0" applyNumberFormat="1" applyFont="1" applyAlignment="1">
      <alignment horizontal="center"/>
    </xf>
    <xf numFmtId="164" fontId="11" fillId="0" borderId="0" xfId="0" applyNumberFormat="1" applyFont="1" applyAlignment="1">
      <alignment horizontal="center"/>
    </xf>
    <xf numFmtId="0" fontId="11" fillId="3" borderId="0" xfId="0" applyFont="1" applyFill="1" applyAlignment="1">
      <alignment horizontal="center"/>
    </xf>
    <xf numFmtId="0" fontId="11" fillId="0" borderId="0" xfId="0" applyFont="1" applyAlignment="1">
      <alignment horizontal="left"/>
    </xf>
    <xf numFmtId="0" fontId="5" fillId="0" borderId="0" xfId="0" applyFont="1" applyFill="1" applyAlignment="1">
      <alignment horizontal="left"/>
    </xf>
    <xf numFmtId="0" fontId="0" fillId="4" borderId="0" xfId="0" applyFill="1"/>
    <xf numFmtId="0" fontId="1" fillId="4" borderId="0" xfId="0" applyFont="1" applyFill="1"/>
    <xf numFmtId="0" fontId="5" fillId="0" borderId="0" xfId="0" applyNumberFormat="1" applyFont="1" applyAlignment="1">
      <alignment vertical="top" wrapText="1"/>
    </xf>
    <xf numFmtId="0" fontId="0" fillId="5" borderId="0" xfId="0" applyFill="1"/>
    <xf numFmtId="0" fontId="1" fillId="0" borderId="0" xfId="0" applyFont="1" applyFill="1" applyAlignment="1">
      <alignment horizontal="center"/>
    </xf>
    <xf numFmtId="0" fontId="10" fillId="0" borderId="0" xfId="0" applyFont="1" applyFill="1"/>
    <xf numFmtId="0" fontId="31" fillId="0" borderId="0" xfId="0" applyFont="1"/>
    <xf numFmtId="0" fontId="30" fillId="0" borderId="0" xfId="0" applyFont="1"/>
    <xf numFmtId="0" fontId="32" fillId="0" borderId="0" xfId="0" applyFont="1"/>
    <xf numFmtId="0" fontId="5" fillId="6" borderId="0" xfId="0" applyFont="1" applyFill="1" applyProtection="1">
      <protection hidden="1"/>
    </xf>
    <xf numFmtId="0" fontId="2" fillId="6" borderId="0" xfId="0" applyFont="1" applyFill="1" applyProtection="1">
      <protection hidden="1"/>
    </xf>
    <xf numFmtId="0" fontId="2" fillId="6" borderId="0" xfId="0" applyFont="1" applyFill="1" applyBorder="1" applyProtection="1">
      <protection hidden="1"/>
    </xf>
    <xf numFmtId="0" fontId="32" fillId="6" borderId="0" xfId="0" applyFont="1" applyFill="1" applyProtection="1">
      <protection hidden="1"/>
    </xf>
    <xf numFmtId="0" fontId="11" fillId="6" borderId="0" xfId="0" applyFont="1" applyFill="1" applyProtection="1">
      <protection hidden="1"/>
    </xf>
    <xf numFmtId="0" fontId="11" fillId="6" borderId="0" xfId="0" applyFont="1" applyFill="1" applyBorder="1" applyProtection="1">
      <protection hidden="1"/>
    </xf>
    <xf numFmtId="0" fontId="34" fillId="6" borderId="0" xfId="0" applyFont="1" applyFill="1" applyAlignment="1" applyProtection="1">
      <protection hidden="1"/>
    </xf>
    <xf numFmtId="0" fontId="33" fillId="6" borderId="0" xfId="1" applyFont="1" applyFill="1" applyAlignment="1" applyProtection="1">
      <protection hidden="1"/>
    </xf>
    <xf numFmtId="0" fontId="10" fillId="6" borderId="0" xfId="0" applyFont="1" applyFill="1" applyAlignment="1" applyProtection="1">
      <protection hidden="1"/>
    </xf>
    <xf numFmtId="0" fontId="5" fillId="6" borderId="0" xfId="0" applyFont="1" applyFill="1" applyProtection="1">
      <protection locked="0" hidden="1"/>
    </xf>
    <xf numFmtId="14" fontId="32" fillId="6" borderId="0" xfId="0" applyNumberFormat="1" applyFont="1" applyFill="1" applyAlignment="1" applyProtection="1">
      <alignment horizontal="left"/>
      <protection hidden="1"/>
    </xf>
    <xf numFmtId="0" fontId="8" fillId="6" borderId="0" xfId="0" applyFont="1" applyFill="1" applyAlignment="1" applyProtection="1">
      <alignment horizontal="center"/>
      <protection hidden="1"/>
    </xf>
    <xf numFmtId="0" fontId="10" fillId="6" borderId="0" xfId="0" applyFont="1" applyFill="1" applyProtection="1">
      <protection hidden="1"/>
    </xf>
    <xf numFmtId="0" fontId="5" fillId="6" borderId="0" xfId="0" applyFont="1" applyFill="1" applyAlignment="1" applyProtection="1">
      <alignment horizontal="left"/>
      <protection hidden="1"/>
    </xf>
    <xf numFmtId="0" fontId="11" fillId="6" borderId="0" xfId="0" applyFont="1" applyFill="1" applyAlignment="1" applyProtection="1">
      <protection hidden="1"/>
    </xf>
    <xf numFmtId="0" fontId="36" fillId="0" borderId="1" xfId="0" applyFont="1" applyFill="1" applyBorder="1" applyAlignment="1" applyProtection="1">
      <alignment horizontal="center"/>
      <protection locked="0" hidden="1"/>
    </xf>
    <xf numFmtId="0" fontId="36" fillId="0" borderId="2" xfId="0" applyFont="1" applyFill="1" applyBorder="1" applyAlignment="1" applyProtection="1">
      <alignment horizontal="center"/>
      <protection locked="0" hidden="1"/>
    </xf>
    <xf numFmtId="0" fontId="36" fillId="0" borderId="3" xfId="0" applyFont="1" applyFill="1" applyBorder="1" applyAlignment="1" applyProtection="1">
      <alignment horizontal="center"/>
      <protection locked="0" hidden="1"/>
    </xf>
    <xf numFmtId="0" fontId="36" fillId="6" borderId="0" xfId="0" applyFont="1" applyFill="1" applyBorder="1" applyAlignment="1" applyProtection="1">
      <alignment horizontal="center"/>
      <protection hidden="1"/>
    </xf>
    <xf numFmtId="1" fontId="36" fillId="6" borderId="0" xfId="0" applyNumberFormat="1" applyFont="1" applyFill="1" applyBorder="1" applyAlignment="1" applyProtection="1">
      <alignment horizontal="center"/>
      <protection hidden="1"/>
    </xf>
    <xf numFmtId="164" fontId="36" fillId="6" borderId="0" xfId="0" applyNumberFormat="1" applyFont="1" applyFill="1" applyBorder="1" applyAlignment="1" applyProtection="1">
      <alignment horizontal="center"/>
      <protection hidden="1"/>
    </xf>
    <xf numFmtId="0" fontId="36" fillId="6" borderId="0" xfId="0" applyFont="1" applyFill="1" applyAlignment="1" applyProtection="1">
      <alignment horizontal="center"/>
      <protection hidden="1"/>
    </xf>
    <xf numFmtId="3" fontId="36" fillId="6" borderId="0" xfId="0" applyNumberFormat="1" applyFont="1" applyFill="1" applyAlignment="1" applyProtection="1">
      <alignment horizontal="center"/>
      <protection hidden="1"/>
    </xf>
    <xf numFmtId="0" fontId="36" fillId="0" borderId="1" xfId="0" applyNumberFormat="1" applyFont="1" applyFill="1" applyBorder="1" applyAlignment="1" applyProtection="1">
      <alignment horizontal="center"/>
      <protection locked="0" hidden="1"/>
    </xf>
    <xf numFmtId="0" fontId="36" fillId="0" borderId="2" xfId="0" applyNumberFormat="1" applyFont="1" applyFill="1" applyBorder="1" applyAlignment="1" applyProtection="1">
      <alignment horizontal="center"/>
      <protection locked="0" hidden="1"/>
    </xf>
    <xf numFmtId="164" fontId="36" fillId="0" borderId="2" xfId="0" applyNumberFormat="1" applyFont="1" applyFill="1" applyBorder="1" applyAlignment="1" applyProtection="1">
      <alignment horizontal="center"/>
      <protection locked="0" hidden="1"/>
    </xf>
    <xf numFmtId="0" fontId="32" fillId="0" borderId="0" xfId="0" applyFont="1" applyFill="1" applyProtection="1">
      <protection hidden="1"/>
    </xf>
    <xf numFmtId="0" fontId="30" fillId="0" borderId="0" xfId="0" applyFont="1" applyAlignment="1">
      <alignment horizontal="left"/>
    </xf>
    <xf numFmtId="2" fontId="30" fillId="0" borderId="0" xfId="0" applyNumberFormat="1" applyFont="1"/>
    <xf numFmtId="0" fontId="30" fillId="0" borderId="0" xfId="0" applyFont="1" applyAlignment="1"/>
    <xf numFmtId="2" fontId="5" fillId="2" borderId="0" xfId="0" applyNumberFormat="1" applyFont="1" applyFill="1" applyAlignment="1">
      <alignment horizontal="center"/>
    </xf>
    <xf numFmtId="0" fontId="2" fillId="0" borderId="0" xfId="0" applyFont="1" applyAlignment="1">
      <alignment horizontal="left"/>
    </xf>
    <xf numFmtId="166" fontId="5" fillId="0" borderId="0" xfId="0" applyNumberFormat="1" applyFont="1" applyAlignment="1">
      <alignment horizontal="center"/>
    </xf>
    <xf numFmtId="0" fontId="3" fillId="6" borderId="0" xfId="1" applyFill="1" applyAlignment="1" applyProtection="1">
      <alignment horizontal="left"/>
      <protection hidden="1"/>
    </xf>
    <xf numFmtId="0" fontId="32" fillId="6" borderId="0" xfId="0" applyFont="1" applyFill="1" applyAlignment="1" applyProtection="1">
      <alignment horizontal="left"/>
      <protection hidden="1"/>
    </xf>
    <xf numFmtId="0" fontId="35" fillId="6" borderId="0" xfId="0" applyFont="1" applyFill="1" applyAlignment="1" applyProtection="1">
      <alignment vertical="top"/>
      <protection hidden="1"/>
    </xf>
  </cellXfs>
  <cellStyles count="150">
    <cellStyle name="Följd hyperlänk" xfId="2" builtinId="9" hidden="1"/>
    <cellStyle name="Följd hyperlänk" xfId="3" builtinId="9" hidden="1"/>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Följd hyperlänk" xfId="112" builtinId="9" hidden="1"/>
    <cellStyle name="Följd hyperlänk" xfId="113" builtinId="9" hidden="1"/>
    <cellStyle name="Följd hyperlänk" xfId="114" builtinId="9" hidden="1"/>
    <cellStyle name="Följd hyperlänk" xfId="115" builtinId="9" hidden="1"/>
    <cellStyle name="Följd hyperlänk" xfId="116" builtinId="9" hidden="1"/>
    <cellStyle name="Följd hyperlänk" xfId="117" builtinId="9" hidden="1"/>
    <cellStyle name="Följd hyperlänk" xfId="118" builtinId="9" hidden="1"/>
    <cellStyle name="Följd hyperlänk" xfId="119" builtinId="9" hidden="1"/>
    <cellStyle name="Följd hyperlänk" xfId="120" builtinId="9" hidden="1"/>
    <cellStyle name="Följd hyperlänk" xfId="121" builtinId="9" hidden="1"/>
    <cellStyle name="Följd hyperlänk" xfId="122" builtinId="9" hidden="1"/>
    <cellStyle name="Följd hyperlänk" xfId="123" builtinId="9" hidden="1"/>
    <cellStyle name="Följd hyperlänk" xfId="124" builtinId="9" hidden="1"/>
    <cellStyle name="Följd hyperlänk" xfId="125" builtinId="9" hidden="1"/>
    <cellStyle name="Följd hyperlänk" xfId="126" builtinId="9" hidden="1"/>
    <cellStyle name="Följd hyperlänk" xfId="127" builtinId="9" hidden="1"/>
    <cellStyle name="Följd hyperlänk" xfId="128" builtinId="9" hidden="1"/>
    <cellStyle name="Följd hyperlänk" xfId="129" builtinId="9" hidden="1"/>
    <cellStyle name="Följd hyperlänk" xfId="130" builtinId="9" hidden="1"/>
    <cellStyle name="Följd hyperlänk" xfId="131" builtinId="9" hidden="1"/>
    <cellStyle name="Följd hyperlänk" xfId="132" builtinId="9" hidden="1"/>
    <cellStyle name="Följd hyperlänk" xfId="133" builtinId="9" hidden="1"/>
    <cellStyle name="Följd hyperlänk" xfId="134" builtinId="9" hidden="1"/>
    <cellStyle name="Följd hyperlänk" xfId="135" builtinId="9" hidden="1"/>
    <cellStyle name="Följd hyperlänk" xfId="136" builtinId="9" hidden="1"/>
    <cellStyle name="Följd hyperlänk" xfId="137" builtinId="9" hidden="1"/>
    <cellStyle name="Följd hyperlänk" xfId="138" builtinId="9" hidden="1"/>
    <cellStyle name="Följd hyperlänk" xfId="139" builtinId="9" hidden="1"/>
    <cellStyle name="Följd hyperlänk" xfId="140" builtinId="9" hidden="1"/>
    <cellStyle name="Följd hyperlänk" xfId="141" builtinId="9" hidden="1"/>
    <cellStyle name="Följd hyperlänk" xfId="142" builtinId="9" hidden="1"/>
    <cellStyle name="Följd hyperlänk" xfId="143" builtinId="9" hidden="1"/>
    <cellStyle name="Följd hyperlänk" xfId="144" builtinId="9" hidden="1"/>
    <cellStyle name="Följd hyperlänk" xfId="145" builtinId="9" hidden="1"/>
    <cellStyle name="Följd hyperlänk" xfId="146" builtinId="9" hidden="1"/>
    <cellStyle name="Följd hyperlänk" xfId="147" builtinId="9" hidden="1"/>
    <cellStyle name="Följd hyperlänk" xfId="148" builtinId="9" hidden="1"/>
    <cellStyle name="Följd hyperlänk" xfId="149" builtinId="9" hidden="1"/>
    <cellStyle name="Hyperlänk" xfId="1" builtinId="8"/>
    <cellStyle name="Normal" xfId="0" builtinId="0"/>
  </cellStyles>
  <dxfs count="1">
    <dxf>
      <font>
        <condense val="0"/>
        <extend val="0"/>
        <color indexed="55"/>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5F5F5"/>
      <color rgb="FFEBEBE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129" dropStyle="combo" dx="15" fmlaLink="AX11" fmlaRange="$I$3:$I$4" sel="1" val="0"/>
</file>

<file path=xl/ctrlProps/ctrlProp2.xml><?xml version="1.0" encoding="utf-8"?>
<formControlPr xmlns="http://schemas.microsoft.com/office/spreadsheetml/2009/9/main" objectType="Drop" dropLines="129" dropStyle="combo" dx="15" fmlaLink="AZ5" fmlaRange="$I$7:$I$8" sel="1" val="0"/>
</file>

<file path=xl/ctrlProps/ctrlProp3.xml><?xml version="1.0" encoding="utf-8"?>
<formControlPr xmlns="http://schemas.microsoft.com/office/spreadsheetml/2009/9/main" objectType="Drop" dropLines="129" dropStyle="combo" dx="15" fmlaLink="AR10" fmlaRange="$I$17:$I$24" sel="1" val="0"/>
</file>

<file path=xl/ctrlProps/ctrlProp4.xml><?xml version="1.0" encoding="utf-8"?>
<formControlPr xmlns="http://schemas.microsoft.com/office/spreadsheetml/2009/9/main" objectType="Drop" dropLines="129" dropStyle="combo" dx="15" fmlaLink="AG2" fmlaRange="$I$27:$I$56" sel="1" val="0"/>
</file>

<file path=xl/ctrlProps/ctrlProp5.xml><?xml version="1.0" encoding="utf-8"?>
<formControlPr xmlns="http://schemas.microsoft.com/office/spreadsheetml/2009/9/main" objectType="Drop" dropLines="129" dropStyle="combo" dx="15" fmlaLink="$H$27" fmlaRange="$H$28:$H$49" sel="6" val="0"/>
</file>

<file path=xl/ctrlProps/ctrlProp6.xml><?xml version="1.0" encoding="utf-8"?>
<formControlPr xmlns="http://schemas.microsoft.com/office/spreadsheetml/2009/9/main" objectType="Drop" dropLines="56" dropStyle="combo" dx="15" fmlaLink="AK11" fmlaRange="#REF!" sel="0" val="0"/>
</file>

<file path=xl/ctrlProps/ctrlProp7.xml><?xml version="1.0" encoding="utf-8"?>
<formControlPr xmlns="http://schemas.microsoft.com/office/spreadsheetml/2009/9/main" objectType="Drop" dropLines="129" dropStyle="combo" dx="15" fmlaLink="AK11" fmlaRange="$AF$2:$AF$30" sel="1" val="0"/>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xdr:row>
          <xdr:rowOff>177800</xdr:rowOff>
        </xdr:from>
        <xdr:to>
          <xdr:col>4</xdr:col>
          <xdr:colOff>25400</xdr:colOff>
          <xdr:row>4</xdr:row>
          <xdr:rowOff>190500</xdr:rowOff>
        </xdr:to>
        <xdr:sp macro="" textlink="">
          <xdr:nvSpPr>
            <xdr:cNvPr id="1025" name="Nedrullningsbar listruta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38100</xdr:rowOff>
        </xdr:from>
        <xdr:to>
          <xdr:col>4</xdr:col>
          <xdr:colOff>25400</xdr:colOff>
          <xdr:row>7</xdr:row>
          <xdr:rowOff>50800</xdr:rowOff>
        </xdr:to>
        <xdr:sp macro="" textlink="">
          <xdr:nvSpPr>
            <xdr:cNvPr id="1026" name="Nedrullningsbar listruta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101600</xdr:rowOff>
        </xdr:from>
        <xdr:to>
          <xdr:col>4</xdr:col>
          <xdr:colOff>25400</xdr:colOff>
          <xdr:row>9</xdr:row>
          <xdr:rowOff>114300</xdr:rowOff>
        </xdr:to>
        <xdr:sp macro="" textlink="">
          <xdr:nvSpPr>
            <xdr:cNvPr id="1027" name="Nedrullningsbar listruta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165100</xdr:rowOff>
        </xdr:from>
        <xdr:to>
          <xdr:col>4</xdr:col>
          <xdr:colOff>12700</xdr:colOff>
          <xdr:row>11</xdr:row>
          <xdr:rowOff>177800</xdr:rowOff>
        </xdr:to>
        <xdr:sp macro="" textlink="">
          <xdr:nvSpPr>
            <xdr:cNvPr id="1028" name="Nedrullningsbar listruta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1092200</xdr:colOff>
          <xdr:row>12</xdr:row>
          <xdr:rowOff>215900</xdr:rowOff>
        </xdr:from>
        <xdr:to>
          <xdr:col>6</xdr:col>
          <xdr:colOff>2705100</xdr:colOff>
          <xdr:row>13</xdr:row>
          <xdr:rowOff>203200</xdr:rowOff>
        </xdr:to>
        <xdr:sp macro="" textlink="">
          <xdr:nvSpPr>
            <xdr:cNvPr id="1039" name="Nedrullningsbar listruta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88900</xdr:rowOff>
        </xdr:from>
        <xdr:to>
          <xdr:col>4</xdr:col>
          <xdr:colOff>12700</xdr:colOff>
          <xdr:row>19</xdr:row>
          <xdr:rowOff>88900</xdr:rowOff>
        </xdr:to>
        <xdr:sp macro="" textlink="">
          <xdr:nvSpPr>
            <xdr:cNvPr id="1041" name="Nedrullningsbar listruta -1023"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101600</xdr:rowOff>
        </xdr:from>
        <xdr:to>
          <xdr:col>4</xdr:col>
          <xdr:colOff>12700</xdr:colOff>
          <xdr:row>19</xdr:row>
          <xdr:rowOff>101600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355600</xdr:colOff>
      <xdr:row>14</xdr:row>
      <xdr:rowOff>152400</xdr:rowOff>
    </xdr:from>
    <xdr:to>
      <xdr:col>6</xdr:col>
      <xdr:colOff>2353871</xdr:colOff>
      <xdr:row>34</xdr:row>
      <xdr:rowOff>76200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258300" y="3708400"/>
          <a:ext cx="1998271" cy="5003800"/>
        </a:xfrm>
        <a:prstGeom prst="rect">
          <a:avLst/>
        </a:prstGeom>
      </xdr:spPr>
    </xdr:pic>
    <xdr:clientData/>
  </xdr:twoCellAnchor>
  <xdr:twoCellAnchor editAs="oneCell">
    <xdr:from>
      <xdr:col>6</xdr:col>
      <xdr:colOff>214</xdr:colOff>
      <xdr:row>1</xdr:row>
      <xdr:rowOff>2560</xdr:rowOff>
    </xdr:from>
    <xdr:to>
      <xdr:col>6</xdr:col>
      <xdr:colOff>2660400</xdr:colOff>
      <xdr:row>4</xdr:row>
      <xdr:rowOff>0</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8902914" y="256560"/>
          <a:ext cx="2660186" cy="75944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hyperlink" Target="http://www.hepyc.com/" TargetMode="External"/><Relationship Id="rId1" Type="http://schemas.openxmlformats.org/officeDocument/2006/relationships/hyperlink" Target="mailto:info@hepyc.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GX187"/>
  <sheetViews>
    <sheetView showGridLines="0" showRowColHeaders="0" tabSelected="1" workbookViewId="0">
      <selection activeCell="C14" sqref="C14"/>
    </sheetView>
  </sheetViews>
  <sheetFormatPr baseColWidth="10" defaultColWidth="8.1640625" defaultRowHeight="16" customHeight="1"/>
  <cols>
    <col min="1" max="1" width="3.1640625" customWidth="1"/>
    <col min="2" max="2" width="46.83203125" customWidth="1"/>
    <col min="3" max="4" width="9" customWidth="1"/>
    <col min="5" max="5" width="3.33203125" customWidth="1"/>
    <col min="6" max="6" width="45.5" style="34" customWidth="1"/>
    <col min="7" max="7" width="38.6640625" style="34" customWidth="1"/>
    <col min="8" max="8" width="11.83203125" hidden="1" customWidth="1"/>
    <col min="9" max="9" width="37.83203125" style="34" hidden="1" customWidth="1"/>
    <col min="10" max="10" width="37.83203125" hidden="1" customWidth="1"/>
    <col min="11" max="15" width="37.83203125" style="34" hidden="1" customWidth="1"/>
    <col min="16" max="16" width="37.83203125" hidden="1" customWidth="1"/>
    <col min="17" max="18" width="37.83203125" style="34" hidden="1" customWidth="1"/>
    <col min="19" max="19" width="37.83203125" hidden="1" customWidth="1"/>
    <col min="20" max="31" width="37.83203125" style="34" hidden="1" customWidth="1"/>
    <col min="32" max="32" width="22" hidden="1" customWidth="1"/>
    <col min="33" max="43" width="10.6640625" hidden="1" customWidth="1"/>
    <col min="44" max="44" width="12.1640625" hidden="1" customWidth="1"/>
    <col min="45" max="47" width="10.6640625" hidden="1" customWidth="1"/>
    <col min="48" max="48" width="10.6640625" style="25" hidden="1" customWidth="1"/>
    <col min="49" max="51" width="10.6640625" hidden="1" customWidth="1"/>
    <col min="52" max="54" width="10.83203125" hidden="1" customWidth="1"/>
    <col min="55" max="56" width="35.5" style="43" hidden="1" customWidth="1"/>
    <col min="57" max="57" width="31.33203125" style="43" hidden="1" customWidth="1"/>
    <col min="58" max="58" width="24.5" style="43" hidden="1" customWidth="1"/>
    <col min="59" max="62" width="30.33203125" style="43" hidden="1" customWidth="1"/>
    <col min="63" max="66" width="31.33203125" style="43" hidden="1" customWidth="1"/>
    <col min="67" max="69" width="32.6640625" style="4" hidden="1" customWidth="1"/>
    <col min="70" max="72" width="31.33203125" style="43" hidden="1" customWidth="1"/>
    <col min="73" max="73" width="32" style="43" hidden="1" customWidth="1"/>
    <col min="74" max="74" width="31.33203125" style="125" hidden="1" customWidth="1"/>
    <col min="75" max="75" width="35.5" style="43" hidden="1" customWidth="1"/>
    <col min="76" max="76" width="35.5" style="125" hidden="1" customWidth="1"/>
    <col min="77" max="77" width="35.5" style="43" hidden="1" customWidth="1"/>
    <col min="78" max="78" width="35.5" style="125" hidden="1" customWidth="1"/>
    <col min="79" max="79" width="35.5" style="43" hidden="1" customWidth="1"/>
    <col min="80" max="80" width="35.5" style="125" hidden="1" customWidth="1"/>
    <col min="81" max="92" width="35.5" style="43" hidden="1" customWidth="1"/>
    <col min="93" max="93" width="8.1640625" style="45" hidden="1" customWidth="1"/>
    <col min="94" max="94" width="15.1640625" hidden="1" customWidth="1"/>
    <col min="95" max="104" width="8.1640625" hidden="1" customWidth="1"/>
    <col min="105" max="107" width="8.1640625" style="25" hidden="1" customWidth="1"/>
    <col min="108" max="108" width="8.1640625" style="47" hidden="1" customWidth="1"/>
    <col min="109" max="109" width="11" style="25" hidden="1" customWidth="1"/>
    <col min="110" max="119" width="8.1640625" style="25" hidden="1" customWidth="1"/>
    <col min="120" max="122" width="8.1640625" hidden="1" customWidth="1"/>
    <col min="123" max="123" width="8.1640625" style="45" hidden="1" customWidth="1"/>
    <col min="124" max="124" width="11" hidden="1" customWidth="1"/>
    <col min="125" max="137" width="8.1640625" hidden="1" customWidth="1"/>
    <col min="138" max="138" width="8.1640625" style="45" hidden="1" customWidth="1"/>
    <col min="139" max="139" width="11.5" style="119" hidden="1" customWidth="1"/>
    <col min="140" max="142" width="8.1640625" style="119" hidden="1" customWidth="1"/>
    <col min="143" max="143" width="8.1640625" style="45" hidden="1" customWidth="1"/>
    <col min="144" max="147" width="8.1640625" hidden="1" customWidth="1"/>
    <col min="148" max="148" width="8.1640625" style="22" hidden="1" customWidth="1"/>
    <col min="149" max="152" width="8.1640625" style="21" hidden="1" customWidth="1"/>
    <col min="153" max="153" width="8.1640625" style="22" hidden="1" customWidth="1"/>
    <col min="154" max="166" width="8.1640625" style="33" hidden="1" customWidth="1"/>
    <col min="167" max="167" width="8.1640625" style="22" hidden="1" customWidth="1"/>
    <col min="168" max="180" width="8.1640625" style="33" hidden="1" customWidth="1"/>
    <col min="181" max="181" width="8.1640625" style="22" hidden="1" customWidth="1"/>
    <col min="182" max="194" width="8.1640625" style="33" hidden="1" customWidth="1"/>
    <col min="195" max="195" width="8.1640625" style="22" hidden="1" customWidth="1"/>
    <col min="196" max="196" width="8.1640625" style="33" hidden="1" customWidth="1"/>
    <col min="197" max="197" width="8.1640625" style="22" hidden="1" customWidth="1"/>
    <col min="198" max="198" width="8.1640625" style="33" hidden="1" customWidth="1"/>
    <col min="199" max="199" width="8.1640625" style="22" hidden="1" customWidth="1"/>
    <col min="200" max="200" width="8.1640625" style="33" hidden="1" customWidth="1"/>
    <col min="201" max="201" width="8.1640625" style="22" hidden="1" customWidth="1"/>
    <col min="202" max="202" width="8.1640625" style="33" hidden="1" customWidth="1"/>
    <col min="203" max="203" width="8.1640625" style="22" hidden="1" customWidth="1"/>
    <col min="204" max="204" width="8.1640625" style="33" hidden="1" customWidth="1"/>
    <col min="205" max="205" width="8.1640625" style="22" hidden="1" customWidth="1"/>
    <col min="206" max="206" width="8.1640625" style="33" hidden="1" customWidth="1"/>
    <col min="207" max="209" width="0" style="33" hidden="1" customWidth="1"/>
    <col min="210" max="16384" width="8.1640625" style="33"/>
  </cols>
  <sheetData>
    <row r="1" spans="1:206" ht="20" customHeight="1">
      <c r="A1" s="136"/>
      <c r="B1" s="136"/>
      <c r="C1" s="136"/>
      <c r="D1" s="136"/>
      <c r="E1" s="137"/>
      <c r="F1" s="138"/>
      <c r="G1" s="135"/>
      <c r="J1" s="130" t="s">
        <v>1872</v>
      </c>
      <c r="K1" s="36" t="s">
        <v>669</v>
      </c>
      <c r="L1" s="36" t="s">
        <v>613</v>
      </c>
      <c r="M1" s="36" t="s">
        <v>668</v>
      </c>
      <c r="N1" s="36" t="s">
        <v>614</v>
      </c>
      <c r="O1" s="36" t="s">
        <v>929</v>
      </c>
      <c r="P1" s="36" t="s">
        <v>1706</v>
      </c>
      <c r="Q1" s="36" t="s">
        <v>680</v>
      </c>
      <c r="R1" s="36" t="s">
        <v>681</v>
      </c>
      <c r="S1" s="36" t="s">
        <v>1705</v>
      </c>
      <c r="T1" s="36" t="s">
        <v>678</v>
      </c>
      <c r="U1" s="36" t="s">
        <v>682</v>
      </c>
      <c r="V1" s="36" t="s">
        <v>683</v>
      </c>
      <c r="W1" s="36" t="s">
        <v>679</v>
      </c>
      <c r="X1" s="36" t="s">
        <v>1165</v>
      </c>
      <c r="Y1" s="36" t="s">
        <v>670</v>
      </c>
      <c r="Z1" s="36" t="s">
        <v>835</v>
      </c>
      <c r="AA1" s="36" t="s">
        <v>1388</v>
      </c>
      <c r="AB1" s="89" t="s">
        <v>1519</v>
      </c>
      <c r="AC1" s="36" t="s">
        <v>432</v>
      </c>
      <c r="AD1" s="100" t="s">
        <v>153</v>
      </c>
      <c r="AE1" s="36" t="s">
        <v>1638</v>
      </c>
      <c r="AF1" s="36" t="s">
        <v>963</v>
      </c>
      <c r="EI1" s="118"/>
      <c r="EJ1" s="118"/>
      <c r="EK1" s="118"/>
      <c r="EL1" s="118"/>
    </row>
    <row r="2" spans="1:206" ht="20" customHeight="1">
      <c r="A2" s="139"/>
      <c r="B2" s="170" t="str">
        <f>I91</f>
        <v>Fresado de roscas</v>
      </c>
      <c r="C2" s="170"/>
      <c r="D2" s="170"/>
      <c r="E2" s="140"/>
      <c r="F2" s="141" t="str">
        <f>LOOKUP(AZ5,H82:H88,I82:I88)</f>
        <v>programa CNC para Fanuc</v>
      </c>
      <c r="G2" s="135"/>
      <c r="J2" s="9">
        <v>1</v>
      </c>
      <c r="K2" s="9">
        <v>2</v>
      </c>
      <c r="L2" s="9">
        <v>3</v>
      </c>
      <c r="M2" s="9">
        <v>4</v>
      </c>
      <c r="N2" s="9">
        <v>5</v>
      </c>
      <c r="O2" s="9">
        <v>6</v>
      </c>
      <c r="P2" s="9">
        <v>7</v>
      </c>
      <c r="Q2" s="9">
        <v>8</v>
      </c>
      <c r="R2" s="9">
        <v>9</v>
      </c>
      <c r="S2" s="9">
        <v>10</v>
      </c>
      <c r="T2" s="9">
        <v>11</v>
      </c>
      <c r="U2" s="9">
        <v>12</v>
      </c>
      <c r="V2" s="9">
        <v>13</v>
      </c>
      <c r="W2" s="9">
        <v>14</v>
      </c>
      <c r="X2" s="9">
        <v>15</v>
      </c>
      <c r="Y2" s="9">
        <v>16</v>
      </c>
      <c r="Z2" s="9">
        <v>17</v>
      </c>
      <c r="AA2" s="9">
        <v>18</v>
      </c>
      <c r="AB2" s="9">
        <v>19</v>
      </c>
      <c r="AC2" s="9">
        <v>20</v>
      </c>
      <c r="AD2" s="9">
        <v>21</v>
      </c>
      <c r="AE2" s="9">
        <v>22</v>
      </c>
      <c r="AF2" t="str">
        <f>TOOLS!W2</f>
        <v>NB08075C21_1.5ISO_AC</v>
      </c>
      <c r="AG2" s="59">
        <v>1</v>
      </c>
      <c r="AH2" s="7" t="s">
        <v>655</v>
      </c>
      <c r="AI2" s="7" t="s">
        <v>656</v>
      </c>
      <c r="AJ2" s="9"/>
      <c r="AK2" s="7" t="s">
        <v>655</v>
      </c>
      <c r="AL2" s="7" t="s">
        <v>656</v>
      </c>
      <c r="AN2" s="13" t="s">
        <v>833</v>
      </c>
      <c r="AO2" s="13" t="s">
        <v>772</v>
      </c>
      <c r="EI2" s="118"/>
      <c r="EJ2" s="118"/>
      <c r="EK2" s="118"/>
      <c r="EL2" s="118"/>
    </row>
    <row r="3" spans="1:206" ht="20" customHeight="1">
      <c r="A3" s="139"/>
      <c r="B3" s="170"/>
      <c r="C3" s="170"/>
      <c r="D3" s="170"/>
      <c r="E3" s="140"/>
      <c r="F3" s="143"/>
      <c r="G3" s="135"/>
      <c r="I3" s="5" t="str">
        <f>LOOKUP(H$27,J$2:AE$2,J3:AE3)</f>
        <v>Roscado interior en una fresadora</v>
      </c>
      <c r="J3" s="34" t="s">
        <v>1873</v>
      </c>
      <c r="K3" s="63" t="s">
        <v>1119</v>
      </c>
      <c r="L3" s="34" t="s">
        <v>898</v>
      </c>
      <c r="M3" s="34" t="s">
        <v>1197</v>
      </c>
      <c r="N3" s="34" t="s">
        <v>759</v>
      </c>
      <c r="O3" s="34" t="s">
        <v>916</v>
      </c>
      <c r="P3" t="s">
        <v>1707</v>
      </c>
      <c r="Q3" s="34" t="s">
        <v>398</v>
      </c>
      <c r="R3" s="34" t="s">
        <v>1166</v>
      </c>
      <c r="S3" t="s">
        <v>1770</v>
      </c>
      <c r="T3" s="34" t="s">
        <v>1248</v>
      </c>
      <c r="U3" s="34" t="s">
        <v>1383</v>
      </c>
      <c r="V3" s="34" t="s">
        <v>349</v>
      </c>
      <c r="W3" s="34" t="s">
        <v>1501</v>
      </c>
      <c r="X3" s="34" t="s">
        <v>602</v>
      </c>
      <c r="Y3" s="34" t="s">
        <v>435</v>
      </c>
      <c r="Z3" s="34" t="s">
        <v>867</v>
      </c>
      <c r="AA3" s="74" t="s">
        <v>1483</v>
      </c>
      <c r="AB3" s="88" t="s">
        <v>1601</v>
      </c>
      <c r="AC3" s="79" t="s">
        <v>462</v>
      </c>
      <c r="AD3" s="92" t="s">
        <v>182</v>
      </c>
      <c r="AE3" s="85" t="s">
        <v>268</v>
      </c>
      <c r="AF3" t="str">
        <f>TOOLS!W3</f>
        <v>NB08075C27_1.5ISO_AC</v>
      </c>
      <c r="AG3" s="25">
        <v>1</v>
      </c>
      <c r="AH3" s="6">
        <v>158</v>
      </c>
      <c r="AI3" s="8">
        <v>1.2</v>
      </c>
      <c r="AJ3" s="9"/>
      <c r="AK3" s="21">
        <f>LOOKUP(AG2,AG3:AG32,AH3:AH32)</f>
        <v>158</v>
      </c>
      <c r="AL3" s="22">
        <f>LOOKUP(AG2,AG3:AG32,AI3:AI32)</f>
        <v>1.2</v>
      </c>
      <c r="AN3" s="7">
        <v>0.1</v>
      </c>
      <c r="AO3" s="167">
        <f t="shared" ref="AO3:AO13" si="0">AO4/1.1</f>
        <v>3.1863081771035654E-3</v>
      </c>
      <c r="AQ3" s="7"/>
      <c r="AR3" s="18">
        <f>C15</f>
        <v>1.5</v>
      </c>
      <c r="BE3" s="9" t="s">
        <v>2349</v>
      </c>
      <c r="BF3" s="9" t="s">
        <v>2350</v>
      </c>
      <c r="BG3" s="9" t="s">
        <v>2351</v>
      </c>
      <c r="BH3" s="9" t="s">
        <v>2352</v>
      </c>
      <c r="BI3" s="9" t="s">
        <v>2353</v>
      </c>
      <c r="BJ3" s="9" t="s">
        <v>2354</v>
      </c>
      <c r="BK3" s="9" t="s">
        <v>2355</v>
      </c>
      <c r="BL3" s="9" t="s">
        <v>2356</v>
      </c>
      <c r="BM3" s="9" t="s">
        <v>2357</v>
      </c>
      <c r="BN3" s="9" t="s">
        <v>2358</v>
      </c>
      <c r="BO3" s="9" t="s">
        <v>2359</v>
      </c>
      <c r="BP3" s="9" t="s">
        <v>2360</v>
      </c>
      <c r="BQ3" s="9" t="s">
        <v>2361</v>
      </c>
      <c r="BR3" s="9" t="s">
        <v>2362</v>
      </c>
      <c r="BS3" s="9" t="s">
        <v>2363</v>
      </c>
      <c r="BT3" s="9" t="s">
        <v>2364</v>
      </c>
      <c r="BU3" s="9" t="s">
        <v>2365</v>
      </c>
      <c r="BV3" s="9" t="s">
        <v>2366</v>
      </c>
      <c r="BW3" s="9" t="s">
        <v>2367</v>
      </c>
      <c r="BX3" s="9" t="s">
        <v>2368</v>
      </c>
      <c r="BY3" s="9" t="s">
        <v>2369</v>
      </c>
      <c r="BZ3" s="9" t="s">
        <v>2370</v>
      </c>
      <c r="CA3" s="9" t="s">
        <v>2371</v>
      </c>
      <c r="CB3" s="9" t="s">
        <v>2372</v>
      </c>
      <c r="CC3" s="9" t="s">
        <v>2373</v>
      </c>
      <c r="CD3" s="9" t="s">
        <v>2374</v>
      </c>
      <c r="CE3" s="9" t="s">
        <v>2375</v>
      </c>
      <c r="CF3" s="9" t="s">
        <v>2376</v>
      </c>
      <c r="CG3" s="9" t="s">
        <v>2377</v>
      </c>
      <c r="CH3" s="9" t="s">
        <v>2378</v>
      </c>
      <c r="CI3" s="9" t="s">
        <v>2379</v>
      </c>
      <c r="CJ3" s="9" t="s">
        <v>2380</v>
      </c>
      <c r="CK3" s="9" t="s">
        <v>2381</v>
      </c>
      <c r="CL3" s="9" t="s">
        <v>2382</v>
      </c>
      <c r="CM3" s="9" t="s">
        <v>2383</v>
      </c>
      <c r="CN3" s="9" t="s">
        <v>2384</v>
      </c>
      <c r="EI3" s="118"/>
      <c r="EJ3" s="118"/>
      <c r="EK3" s="118"/>
      <c r="EL3" s="118"/>
    </row>
    <row r="4" spans="1:206" ht="20" customHeight="1">
      <c r="A4" s="139"/>
      <c r="B4" s="139"/>
      <c r="C4" s="139"/>
      <c r="D4" s="139"/>
      <c r="E4" s="140"/>
      <c r="F4" s="138" t="str">
        <f>IF(BC6=0,"",BC6)</f>
        <v>S6706 M3</v>
      </c>
      <c r="G4" s="135"/>
      <c r="I4" s="5" t="str">
        <f>LOOKUP(H$27,J$2:AE$2,J4:AE4)</f>
        <v>Roscado interior en un torno</v>
      </c>
      <c r="J4" s="34" t="s">
        <v>1874</v>
      </c>
      <c r="K4" s="63" t="s">
        <v>1120</v>
      </c>
      <c r="L4" s="34" t="s">
        <v>897</v>
      </c>
      <c r="M4" s="34" t="s">
        <v>1198</v>
      </c>
      <c r="N4" s="34" t="s">
        <v>642</v>
      </c>
      <c r="O4" s="34" t="s">
        <v>914</v>
      </c>
      <c r="P4" t="s">
        <v>1708</v>
      </c>
      <c r="Q4" s="34" t="s">
        <v>399</v>
      </c>
      <c r="R4" s="34" t="s">
        <v>1167</v>
      </c>
      <c r="S4" t="s">
        <v>1771</v>
      </c>
      <c r="T4" s="34" t="s">
        <v>49</v>
      </c>
      <c r="U4" s="34" t="s">
        <v>1384</v>
      </c>
      <c r="V4" s="34" t="s">
        <v>350</v>
      </c>
      <c r="W4" s="34" t="s">
        <v>1502</v>
      </c>
      <c r="X4" s="34" t="s">
        <v>603</v>
      </c>
      <c r="Y4" s="34" t="s">
        <v>436</v>
      </c>
      <c r="Z4" s="34" t="s">
        <v>861</v>
      </c>
      <c r="AA4" s="74" t="s">
        <v>1484</v>
      </c>
      <c r="AB4" s="88" t="s">
        <v>1610</v>
      </c>
      <c r="AC4" s="79" t="s">
        <v>395</v>
      </c>
      <c r="AD4" s="92" t="s">
        <v>183</v>
      </c>
      <c r="AE4" s="85" t="s">
        <v>269</v>
      </c>
      <c r="AF4" t="str">
        <f>TOOLS!W4</f>
        <v>NB08075C32_1.5ISO_AC</v>
      </c>
      <c r="AG4" s="25">
        <v>2</v>
      </c>
      <c r="AH4" s="6">
        <v>133</v>
      </c>
      <c r="AI4" s="8">
        <v>1.1000000000000001</v>
      </c>
      <c r="AJ4" s="9"/>
      <c r="AK4" s="9"/>
      <c r="AL4" s="9"/>
      <c r="AN4" s="7">
        <f t="shared" ref="AN4:AN14" si="1">AN5/1.15</f>
        <v>0.41119573041066543</v>
      </c>
      <c r="AO4" s="167">
        <f t="shared" si="0"/>
        <v>3.5049389948139222E-3</v>
      </c>
      <c r="AQ4" s="7"/>
      <c r="AR4" s="11">
        <f>25.4/C15</f>
        <v>16.933333333333334</v>
      </c>
      <c r="AU4" s="7" t="s">
        <v>889</v>
      </c>
      <c r="AV4" s="25">
        <f>(IF(D23&gt;0,D23,C23))+0.001</f>
        <v>21.751000000000001</v>
      </c>
      <c r="CO4" s="48"/>
      <c r="CP4" s="18"/>
      <c r="CQ4" s="18"/>
      <c r="CR4" s="39"/>
      <c r="CS4" s="39"/>
      <c r="CT4" s="39"/>
      <c r="CU4" s="39"/>
      <c r="CV4" s="18"/>
      <c r="CW4" s="18"/>
      <c r="CX4" s="18"/>
      <c r="CY4" s="18"/>
      <c r="CZ4" s="18"/>
      <c r="EI4" s="118"/>
      <c r="EJ4" s="118"/>
      <c r="EK4" s="118"/>
      <c r="EL4" s="118"/>
    </row>
    <row r="5" spans="1:206" ht="20" customHeight="1">
      <c r="A5" s="139"/>
      <c r="B5" s="139"/>
      <c r="C5" s="139"/>
      <c r="D5" s="139"/>
      <c r="E5" s="140"/>
      <c r="F5" s="138" t="str">
        <f>IF(BC9=0,"",BC9)</f>
        <v>G00 G91 Z-22.</v>
      </c>
      <c r="G5" s="135"/>
      <c r="I5" s="5"/>
      <c r="J5" s="34"/>
      <c r="K5" s="63"/>
      <c r="L5" s="34" t="s">
        <v>896</v>
      </c>
      <c r="W5" s="34" t="s">
        <v>1503</v>
      </c>
      <c r="AA5" s="74"/>
      <c r="AD5" s="93"/>
      <c r="AF5" t="str">
        <f>TOOLS!W5</f>
        <v>NBK08075C21_1.5ISO_AC</v>
      </c>
      <c r="AG5" s="25">
        <v>3</v>
      </c>
      <c r="AH5" s="6">
        <v>118</v>
      </c>
      <c r="AI5" s="8">
        <v>1</v>
      </c>
      <c r="AJ5" s="9"/>
      <c r="AK5" s="20">
        <f>IF(D25&gt;0,D25,C25)</f>
        <v>158</v>
      </c>
      <c r="AL5" s="9"/>
      <c r="AN5" s="7">
        <f t="shared" si="1"/>
        <v>0.47287508997226518</v>
      </c>
      <c r="AO5" s="167">
        <f t="shared" si="0"/>
        <v>3.8554328942953147E-3</v>
      </c>
      <c r="AQ5" s="7"/>
      <c r="AR5" s="11">
        <f>IF(AR10=1,AR3,AR4)</f>
        <v>1.5</v>
      </c>
      <c r="AU5" s="7" t="s">
        <v>699</v>
      </c>
      <c r="AV5" s="25">
        <f>AV4/AR6</f>
        <v>14.500666666666667</v>
      </c>
      <c r="AY5" s="39" t="s">
        <v>578</v>
      </c>
      <c r="AZ5" s="59">
        <v>1</v>
      </c>
      <c r="BD5" s="9">
        <v>0</v>
      </c>
      <c r="BE5" s="9">
        <v>11</v>
      </c>
      <c r="BF5" s="9">
        <v>12</v>
      </c>
      <c r="BG5" s="9">
        <v>21</v>
      </c>
      <c r="BH5" s="9">
        <v>22</v>
      </c>
      <c r="BI5" s="9">
        <v>31</v>
      </c>
      <c r="BJ5" s="9">
        <v>32</v>
      </c>
      <c r="BK5" s="9">
        <v>111</v>
      </c>
      <c r="BL5" s="9">
        <v>112</v>
      </c>
      <c r="BM5" s="9">
        <v>121</v>
      </c>
      <c r="BN5" s="9">
        <v>122</v>
      </c>
      <c r="BO5" s="9">
        <v>131</v>
      </c>
      <c r="BP5" s="9">
        <v>132</v>
      </c>
      <c r="BQ5" s="9">
        <v>1011</v>
      </c>
      <c r="BR5" s="9">
        <v>1012</v>
      </c>
      <c r="BS5" s="9">
        <v>1021</v>
      </c>
      <c r="BT5" s="9">
        <v>1022</v>
      </c>
      <c r="BU5" s="9">
        <v>1031</v>
      </c>
      <c r="BV5" s="13">
        <v>1032</v>
      </c>
      <c r="BW5" s="9">
        <v>10011</v>
      </c>
      <c r="BX5" s="13">
        <v>10012</v>
      </c>
      <c r="BY5" s="9">
        <v>10021</v>
      </c>
      <c r="BZ5" s="13">
        <v>10022</v>
      </c>
      <c r="CA5" s="9">
        <v>10031</v>
      </c>
      <c r="CB5" s="13">
        <v>10032</v>
      </c>
      <c r="CC5" s="9">
        <v>1000011</v>
      </c>
      <c r="CD5" s="9">
        <v>1000021</v>
      </c>
      <c r="CE5" s="9">
        <v>1000031</v>
      </c>
      <c r="CF5" s="9">
        <v>1000111</v>
      </c>
      <c r="CG5" s="9">
        <v>1000121</v>
      </c>
      <c r="CH5" s="9">
        <v>1000131</v>
      </c>
      <c r="CI5" s="9">
        <v>1001011</v>
      </c>
      <c r="CJ5" s="9">
        <v>1001021</v>
      </c>
      <c r="CK5" s="9">
        <v>1001031</v>
      </c>
      <c r="CL5" s="9">
        <v>1010011</v>
      </c>
      <c r="CM5" s="9">
        <v>1010021</v>
      </c>
      <c r="CN5" s="9">
        <v>1010031</v>
      </c>
      <c r="CO5" s="48"/>
      <c r="CP5" s="41" t="s">
        <v>1030</v>
      </c>
      <c r="CQ5" s="39"/>
      <c r="CR5" s="39"/>
      <c r="CS5" s="39"/>
      <c r="CT5" s="39"/>
      <c r="CU5" s="39"/>
      <c r="CV5" s="18"/>
      <c r="CW5" s="18"/>
      <c r="CX5" s="18"/>
      <c r="CY5" s="18"/>
      <c r="CZ5" s="18"/>
      <c r="DD5" s="48"/>
      <c r="DE5" s="41" t="s">
        <v>953</v>
      </c>
      <c r="DF5" s="39"/>
      <c r="DG5" s="39"/>
      <c r="DH5" s="39"/>
      <c r="DI5" s="39"/>
      <c r="DJ5" s="39"/>
      <c r="DK5" s="18"/>
      <c r="DL5" s="18"/>
      <c r="DM5" s="18"/>
      <c r="DN5" s="18"/>
      <c r="DO5" s="18"/>
      <c r="DP5" s="25"/>
      <c r="DQ5" s="25"/>
      <c r="DR5" s="25"/>
      <c r="DS5" s="48"/>
      <c r="DT5" s="41" t="s">
        <v>715</v>
      </c>
      <c r="DU5" s="39"/>
      <c r="DV5" s="39"/>
      <c r="DW5" s="39"/>
      <c r="DX5" s="39"/>
      <c r="DY5" s="39"/>
      <c r="DZ5" s="18"/>
      <c r="EA5" s="18"/>
      <c r="EB5" s="18"/>
      <c r="EC5" s="18"/>
      <c r="ED5" s="18"/>
      <c r="EE5" s="25"/>
      <c r="EF5" s="25"/>
      <c r="EG5" s="25"/>
      <c r="EI5" s="117" t="s">
        <v>796</v>
      </c>
      <c r="EN5" s="41" t="s">
        <v>723</v>
      </c>
      <c r="ES5" s="41" t="s">
        <v>969</v>
      </c>
      <c r="EX5" s="41" t="s">
        <v>783</v>
      </c>
      <c r="FL5" s="41" t="s">
        <v>690</v>
      </c>
      <c r="FZ5" s="41" t="s">
        <v>887</v>
      </c>
      <c r="GN5" s="41">
        <v>1000011</v>
      </c>
      <c r="GP5" s="41">
        <v>1000021</v>
      </c>
      <c r="GR5" s="41">
        <v>1000031</v>
      </c>
      <c r="GT5" s="41">
        <v>1010011</v>
      </c>
      <c r="GV5" s="41">
        <v>1010021</v>
      </c>
      <c r="GX5" s="41">
        <v>1010031</v>
      </c>
    </row>
    <row r="6" spans="1:206" ht="20" customHeight="1">
      <c r="A6" s="139"/>
      <c r="B6" s="139"/>
      <c r="C6" s="139"/>
      <c r="D6" s="139"/>
      <c r="E6" s="140"/>
      <c r="F6" s="138" t="str">
        <f>IF(BC12=0,"",BC12)</f>
        <v>G01 G41 X0.625 Y-0.625 F53</v>
      </c>
      <c r="G6" s="168" t="s">
        <v>2385</v>
      </c>
      <c r="I6" s="5"/>
      <c r="J6" s="34"/>
      <c r="K6" s="63"/>
      <c r="AA6" s="74"/>
      <c r="AD6" s="93"/>
      <c r="AF6" t="str">
        <f>TOOLS!W6</f>
        <v>NBK08075C27_1.5ISO_AC</v>
      </c>
      <c r="AG6" s="25">
        <v>4</v>
      </c>
      <c r="AH6" s="6">
        <v>108</v>
      </c>
      <c r="AI6" s="8">
        <v>1</v>
      </c>
      <c r="AJ6" s="9"/>
      <c r="AK6" s="9"/>
      <c r="AL6" s="9"/>
      <c r="AN6" s="7">
        <f t="shared" si="1"/>
        <v>0.54380635346810491</v>
      </c>
      <c r="AO6" s="167">
        <f t="shared" si="0"/>
        <v>4.2409761837248466E-3</v>
      </c>
      <c r="AQ6" s="7" t="s">
        <v>888</v>
      </c>
      <c r="AR6" s="12">
        <f>ROUND(AR5,3)</f>
        <v>1.5</v>
      </c>
      <c r="AU6" s="7" t="s">
        <v>689</v>
      </c>
      <c r="AV6" s="28">
        <f>INT(AV5)</f>
        <v>14</v>
      </c>
      <c r="AX6" s="25">
        <f>IF(AL29&gt;3,"ERROR",AL29)</f>
        <v>1</v>
      </c>
      <c r="AY6" s="39" t="s">
        <v>936</v>
      </c>
      <c r="AZ6" s="33">
        <f>AX6*10</f>
        <v>10</v>
      </c>
      <c r="BA6" s="33"/>
      <c r="BB6" s="39">
        <v>1</v>
      </c>
      <c r="BC6" s="44" t="str">
        <f>LOOKUP(AZ$54,BD$5:CN$5,BD6:CN6)</f>
        <v>S6706 M3</v>
      </c>
      <c r="BD6" s="44" t="s">
        <v>1646</v>
      </c>
      <c r="BE6" s="43" t="str">
        <f>CONCATENATE(CP6,CQ6,CR6)</f>
        <v>S6706 M3</v>
      </c>
      <c r="BF6" s="43" t="str">
        <f>CONCATENATE(BB6,CP73,CQ73)</f>
        <v>1 TOOL CALL 1 Z S6706</v>
      </c>
      <c r="BG6" s="43" t="str">
        <f>BE6</f>
        <v>S6706 M3</v>
      </c>
      <c r="BH6" s="43" t="str">
        <f>BF6</f>
        <v>1 TOOL CALL 1 Z S6706</v>
      </c>
      <c r="BI6" s="43" t="str">
        <f>BE6</f>
        <v>S6706 M3</v>
      </c>
      <c r="BJ6" s="43" t="str">
        <f>BH6</f>
        <v>1 TOOL CALL 1 Z S6706</v>
      </c>
      <c r="BK6" s="43" t="str">
        <f t="shared" ref="BK6:BP6" si="2">BE6</f>
        <v>S6706 M3</v>
      </c>
      <c r="BL6" s="43" t="str">
        <f t="shared" si="2"/>
        <v>1 TOOL CALL 1 Z S6706</v>
      </c>
      <c r="BM6" s="43" t="str">
        <f t="shared" si="2"/>
        <v>S6706 M3</v>
      </c>
      <c r="BN6" s="43" t="str">
        <f t="shared" si="2"/>
        <v>1 TOOL CALL 1 Z S6706</v>
      </c>
      <c r="BO6" s="43" t="str">
        <f t="shared" si="2"/>
        <v>S6706 M3</v>
      </c>
      <c r="BP6" s="43" t="str">
        <f t="shared" si="2"/>
        <v>1 TOOL CALL 1 Z S6706</v>
      </c>
      <c r="BQ6" s="43" t="str">
        <f t="shared" ref="BQ6:BV6" si="3">BE6</f>
        <v>S6706 M3</v>
      </c>
      <c r="BR6" s="43" t="str">
        <f t="shared" si="3"/>
        <v>1 TOOL CALL 1 Z S6706</v>
      </c>
      <c r="BS6" s="43" t="str">
        <f t="shared" si="3"/>
        <v>S6706 M3</v>
      </c>
      <c r="BT6" s="43" t="str">
        <f t="shared" si="3"/>
        <v>1 TOOL CALL 1 Z S6706</v>
      </c>
      <c r="BU6" s="43" t="str">
        <f t="shared" si="3"/>
        <v>S6706 M3</v>
      </c>
      <c r="BV6" s="125" t="str">
        <f t="shared" si="3"/>
        <v>1 TOOL CALL 1 Z S6706</v>
      </c>
      <c r="BW6" s="43" t="str">
        <f t="shared" ref="BW6:CB6" si="4">BE6</f>
        <v>S6706 M3</v>
      </c>
      <c r="BX6" s="125" t="str">
        <f t="shared" si="4"/>
        <v>1 TOOL CALL 1 Z S6706</v>
      </c>
      <c r="BY6" s="43" t="str">
        <f t="shared" si="4"/>
        <v>S6706 M3</v>
      </c>
      <c r="BZ6" s="125" t="str">
        <f t="shared" si="4"/>
        <v>1 TOOL CALL 1 Z S6706</v>
      </c>
      <c r="CA6" s="43" t="str">
        <f t="shared" si="4"/>
        <v>S6706 M3</v>
      </c>
      <c r="CB6" s="125" t="str">
        <f t="shared" si="4"/>
        <v>1 TOOL CALL 1 Z S6706</v>
      </c>
      <c r="CC6" s="43" t="str">
        <f>CONCATENATE(CP6,CQ6," M13")</f>
        <v>S6706 M13</v>
      </c>
      <c r="CD6" s="43" t="str">
        <f>CC6</f>
        <v>S6706 M13</v>
      </c>
      <c r="CE6" s="43" t="str">
        <f>CC6</f>
        <v>S6706 M13</v>
      </c>
      <c r="CF6" s="43" t="str">
        <f>CC6</f>
        <v>S6706 M13</v>
      </c>
      <c r="CG6" s="43" t="str">
        <f>CD6</f>
        <v>S6706 M13</v>
      </c>
      <c r="CH6" s="43" t="str">
        <f>CE6</f>
        <v>S6706 M13</v>
      </c>
      <c r="CI6" s="43" t="str">
        <f>CC6</f>
        <v>S6706 M13</v>
      </c>
      <c r="CJ6" s="43" t="str">
        <f>CD6</f>
        <v>S6706 M13</v>
      </c>
      <c r="CK6" s="43" t="str">
        <f>CE6</f>
        <v>S6706 M13</v>
      </c>
      <c r="CL6" s="43" t="str">
        <f>CC6</f>
        <v>S6706 M13</v>
      </c>
      <c r="CM6" s="43" t="str">
        <f>CD6</f>
        <v>S6706 M13</v>
      </c>
      <c r="CN6" s="43" t="str">
        <f>CE6</f>
        <v>S6706 M13</v>
      </c>
      <c r="CO6" s="48">
        <v>1</v>
      </c>
      <c r="CP6" s="18" t="s">
        <v>564</v>
      </c>
      <c r="CQ6" s="6">
        <f>C29</f>
        <v>6706</v>
      </c>
      <c r="CR6" s="18" t="s">
        <v>574</v>
      </c>
      <c r="CS6" s="18"/>
      <c r="CT6" s="18"/>
      <c r="CU6" s="18"/>
      <c r="CV6" s="18"/>
      <c r="CW6" s="18"/>
      <c r="CX6" s="18"/>
      <c r="CY6" s="18"/>
      <c r="CZ6" s="18"/>
      <c r="DD6" s="48"/>
      <c r="DE6" s="18"/>
      <c r="DF6" s="18"/>
      <c r="DG6" s="18"/>
      <c r="DH6" s="18"/>
      <c r="DI6" s="18"/>
      <c r="DJ6" s="18"/>
      <c r="DK6" s="18"/>
      <c r="DL6" s="18"/>
      <c r="DM6" s="18"/>
      <c r="DN6" s="18"/>
      <c r="DO6" s="18"/>
      <c r="DP6" s="18"/>
      <c r="DQ6" s="18"/>
      <c r="DR6" s="18"/>
      <c r="DS6" s="48"/>
      <c r="DT6" s="18"/>
      <c r="DU6" s="18"/>
      <c r="DV6" s="18"/>
      <c r="DW6" s="18"/>
      <c r="DX6" s="18"/>
      <c r="DY6" s="18"/>
      <c r="DZ6" s="18"/>
      <c r="EA6" s="18"/>
      <c r="EB6" s="18"/>
      <c r="EC6" s="18"/>
      <c r="ED6" s="18"/>
      <c r="EE6" s="18"/>
      <c r="EF6" s="18"/>
      <c r="EG6" s="18"/>
    </row>
    <row r="7" spans="1:206" ht="20" customHeight="1">
      <c r="A7" s="139"/>
      <c r="B7" s="139"/>
      <c r="C7" s="139"/>
      <c r="D7" s="139"/>
      <c r="E7" s="140"/>
      <c r="F7" s="138" t="str">
        <f>IF(BC15=0,"",BC15)</f>
        <v>G03 X0.625 Y0.625 Z0.188 I0. J0.625</v>
      </c>
      <c r="G7" s="168" t="s">
        <v>2386</v>
      </c>
      <c r="I7" s="5" t="str">
        <f>LOOKUP(H$27,J$2:AE$2,J7:AE7)</f>
        <v>Fanuc</v>
      </c>
      <c r="J7" s="34" t="s">
        <v>873</v>
      </c>
      <c r="K7" s="63" t="s">
        <v>873</v>
      </c>
      <c r="L7" s="63" t="s">
        <v>873</v>
      </c>
      <c r="M7" s="34" t="s">
        <v>873</v>
      </c>
      <c r="N7" s="63" t="s">
        <v>873</v>
      </c>
      <c r="O7" s="63" t="s">
        <v>873</v>
      </c>
      <c r="P7" s="34" t="s">
        <v>873</v>
      </c>
      <c r="Q7" s="34" t="s">
        <v>873</v>
      </c>
      <c r="R7" s="34" t="s">
        <v>873</v>
      </c>
      <c r="S7" s="34" t="s">
        <v>873</v>
      </c>
      <c r="T7" s="34" t="s">
        <v>873</v>
      </c>
      <c r="U7" s="34" t="s">
        <v>873</v>
      </c>
      <c r="V7" s="34" t="s">
        <v>873</v>
      </c>
      <c r="W7" s="34" t="s">
        <v>873</v>
      </c>
      <c r="X7" s="34" t="s">
        <v>873</v>
      </c>
      <c r="Y7" s="63" t="s">
        <v>873</v>
      </c>
      <c r="Z7" s="63" t="s">
        <v>873</v>
      </c>
      <c r="AA7" s="34" t="s">
        <v>873</v>
      </c>
      <c r="AB7" s="88" t="s">
        <v>1611</v>
      </c>
      <c r="AC7" s="63" t="s">
        <v>873</v>
      </c>
      <c r="AD7" s="92" t="s">
        <v>184</v>
      </c>
      <c r="AE7" s="85" t="s">
        <v>270</v>
      </c>
      <c r="AF7" t="str">
        <f>TOOLS!W7</f>
        <v>NBK08075C32_1.5ISO_AC</v>
      </c>
      <c r="AG7" s="25">
        <v>5</v>
      </c>
      <c r="AH7" s="6">
        <v>83</v>
      </c>
      <c r="AI7" s="8">
        <v>0.9</v>
      </c>
      <c r="AJ7" s="9"/>
      <c r="AK7" s="9"/>
      <c r="AL7" s="9"/>
      <c r="AN7" s="7">
        <f t="shared" si="1"/>
        <v>0.62537730648832057</v>
      </c>
      <c r="AO7" s="167">
        <f t="shared" si="0"/>
        <v>4.6650738020973317E-3</v>
      </c>
      <c r="AQ7" s="7"/>
      <c r="AR7" s="10"/>
      <c r="AU7" s="7" t="s">
        <v>980</v>
      </c>
      <c r="AV7" s="35">
        <f>AV6*AR6</f>
        <v>21</v>
      </c>
      <c r="AX7" s="33" t="str">
        <f>IF(AV9&gt;1,100,"")</f>
        <v/>
      </c>
      <c r="AY7" s="7" t="s">
        <v>965</v>
      </c>
      <c r="AZ7" s="33" t="str">
        <f>IF(AV42=2,"",AX7)</f>
        <v/>
      </c>
      <c r="BA7" s="33"/>
      <c r="BB7" s="39"/>
      <c r="BC7" s="44"/>
      <c r="BD7" s="44"/>
      <c r="BO7" s="43"/>
      <c r="BP7" s="43"/>
      <c r="BQ7" s="43"/>
      <c r="CO7" s="48"/>
      <c r="CP7" s="18"/>
      <c r="CQ7" s="18"/>
      <c r="CR7" s="18"/>
      <c r="CS7" s="18">
        <f>-(C16+C17)</f>
        <v>-22</v>
      </c>
      <c r="CT7" s="18"/>
      <c r="CU7" s="18"/>
      <c r="CV7" s="18"/>
      <c r="CW7" s="18"/>
      <c r="CX7" s="18"/>
      <c r="CY7" s="18"/>
      <c r="CZ7" s="18"/>
      <c r="DD7" s="48"/>
      <c r="DE7" s="18"/>
      <c r="DF7" s="18"/>
      <c r="DG7" s="18"/>
      <c r="DH7" s="18"/>
      <c r="DI7" s="18"/>
      <c r="DJ7" s="18"/>
      <c r="DK7" s="18"/>
      <c r="DL7" s="18"/>
      <c r="DM7" s="18"/>
      <c r="DN7" s="18"/>
      <c r="DO7" s="18"/>
      <c r="DP7" s="18"/>
      <c r="DQ7" s="18"/>
      <c r="DR7" s="18"/>
      <c r="DS7" s="48"/>
      <c r="DT7" s="18"/>
      <c r="DU7" s="18"/>
      <c r="DV7" s="18"/>
      <c r="DW7" s="18"/>
      <c r="DX7" s="18"/>
      <c r="DY7" s="18"/>
      <c r="DZ7" s="18"/>
      <c r="EA7" s="18"/>
      <c r="EB7" s="18"/>
      <c r="EC7" s="18"/>
      <c r="ED7" s="18"/>
      <c r="EE7" s="18"/>
      <c r="EF7" s="18"/>
      <c r="EG7" s="18"/>
    </row>
    <row r="8" spans="1:206" ht="20" customHeight="1">
      <c r="A8" s="139"/>
      <c r="B8" s="139"/>
      <c r="C8" s="139"/>
      <c r="D8" s="139"/>
      <c r="E8" s="140"/>
      <c r="F8" s="138" t="str">
        <f>IF(BC18=0,"",BC18)</f>
        <v>G03 X0. Y0. Z1.5 I-1.25 J0. F106</v>
      </c>
      <c r="G8" s="169" t="s">
        <v>2387</v>
      </c>
      <c r="I8" s="5" t="str">
        <f t="shared" ref="I8:I12" si="5">LOOKUP(H$27,J$2:AE$2,J8:AE8)</f>
        <v>Heidenhain</v>
      </c>
      <c r="J8" s="34" t="s">
        <v>1709</v>
      </c>
      <c r="K8" s="63" t="s">
        <v>1680</v>
      </c>
      <c r="L8" s="63" t="s">
        <v>1680</v>
      </c>
      <c r="M8" s="63" t="s">
        <v>1680</v>
      </c>
      <c r="N8" s="63" t="s">
        <v>1680</v>
      </c>
      <c r="O8" s="63" t="s">
        <v>1680</v>
      </c>
      <c r="P8" s="34" t="s">
        <v>1709</v>
      </c>
      <c r="Q8" s="63" t="s">
        <v>1680</v>
      </c>
      <c r="R8" s="63" t="s">
        <v>1680</v>
      </c>
      <c r="S8" s="34" t="s">
        <v>1709</v>
      </c>
      <c r="T8" s="63" t="s">
        <v>1680</v>
      </c>
      <c r="U8" s="63" t="s">
        <v>1680</v>
      </c>
      <c r="V8" s="63" t="s">
        <v>1680</v>
      </c>
      <c r="W8" s="63" t="s">
        <v>1680</v>
      </c>
      <c r="X8" s="63" t="s">
        <v>1680</v>
      </c>
      <c r="Y8" s="63" t="s">
        <v>1680</v>
      </c>
      <c r="Z8" s="63" t="s">
        <v>1680</v>
      </c>
      <c r="AA8" s="63" t="s">
        <v>1680</v>
      </c>
      <c r="AB8" s="88" t="s">
        <v>1612</v>
      </c>
      <c r="AC8" s="63" t="s">
        <v>1680</v>
      </c>
      <c r="AD8" s="92" t="s">
        <v>185</v>
      </c>
      <c r="AE8" s="85" t="s">
        <v>271</v>
      </c>
      <c r="AF8" t="str">
        <f>TOOLS!W8</f>
        <v>NBT08075C21_1.5ISO_AC</v>
      </c>
      <c r="AG8" s="25">
        <v>6</v>
      </c>
      <c r="AH8" s="6">
        <v>73</v>
      </c>
      <c r="AI8" s="8">
        <v>0.8</v>
      </c>
      <c r="AJ8" s="9"/>
      <c r="AK8" s="9"/>
      <c r="AL8" s="9"/>
      <c r="AN8" s="7">
        <f t="shared" si="1"/>
        <v>0.7191839024615686</v>
      </c>
      <c r="AO8" s="167">
        <f t="shared" si="0"/>
        <v>5.1315811823070649E-3</v>
      </c>
      <c r="AR8" s="19"/>
      <c r="AY8" s="39" t="s">
        <v>937</v>
      </c>
      <c r="AZ8" s="33" t="str">
        <f>IF(AV42=2,1000,"")</f>
        <v/>
      </c>
      <c r="BA8" s="33"/>
      <c r="BB8" s="39"/>
      <c r="BC8" s="44"/>
      <c r="BD8" s="44"/>
      <c r="BO8" s="43"/>
      <c r="BP8" s="43"/>
      <c r="BQ8" s="43"/>
      <c r="CS8" s="25">
        <f>INT(CS7)</f>
        <v>-22</v>
      </c>
      <c r="DD8" s="48"/>
      <c r="DE8" s="18"/>
      <c r="DF8" s="18"/>
      <c r="DG8" s="18"/>
      <c r="DH8" s="18"/>
      <c r="DI8" s="18"/>
      <c r="DJ8" s="18"/>
      <c r="DK8" s="18"/>
      <c r="DL8" s="18"/>
      <c r="DM8" s="18"/>
      <c r="DN8" s="18"/>
      <c r="DO8" s="18"/>
      <c r="DP8" s="18"/>
      <c r="DQ8" s="18"/>
      <c r="DR8" s="18"/>
      <c r="DS8" s="48"/>
      <c r="DT8" s="18"/>
      <c r="DU8" s="18"/>
      <c r="DV8" s="18"/>
      <c r="DW8" s="18"/>
      <c r="DX8" s="18"/>
      <c r="DY8" s="18"/>
      <c r="DZ8" s="18"/>
      <c r="EA8" s="18"/>
      <c r="EB8" s="18"/>
      <c r="EC8" s="18"/>
      <c r="ED8" s="18"/>
      <c r="EE8" s="18"/>
      <c r="EF8" s="18"/>
      <c r="EG8" s="18"/>
    </row>
    <row r="9" spans="1:206" ht="20" customHeight="1">
      <c r="A9" s="139"/>
      <c r="B9" s="139"/>
      <c r="C9" s="139"/>
      <c r="D9" s="139"/>
      <c r="E9" s="140"/>
      <c r="F9" s="138" t="str">
        <f>IF(BC21=0,"",BC21)</f>
        <v>G03 X-0.625 Y0.625 Z0.188 I-0.625 J0. F530</v>
      </c>
      <c r="G9" s="144"/>
      <c r="I9" s="5" t="str">
        <f t="shared" si="5"/>
        <v>Siemens</v>
      </c>
      <c r="J9" s="34" t="s">
        <v>726</v>
      </c>
      <c r="K9" s="63" t="s">
        <v>726</v>
      </c>
      <c r="L9" s="63" t="s">
        <v>726</v>
      </c>
      <c r="M9" s="34" t="s">
        <v>726</v>
      </c>
      <c r="N9" s="63" t="s">
        <v>726</v>
      </c>
      <c r="O9" s="63" t="s">
        <v>726</v>
      </c>
      <c r="P9" s="34" t="s">
        <v>726</v>
      </c>
      <c r="Q9" s="34" t="s">
        <v>726</v>
      </c>
      <c r="R9" s="34" t="s">
        <v>726</v>
      </c>
      <c r="S9" s="34" t="s">
        <v>726</v>
      </c>
      <c r="T9" s="34" t="s">
        <v>726</v>
      </c>
      <c r="U9" s="34" t="s">
        <v>726</v>
      </c>
      <c r="V9" s="34" t="s">
        <v>726</v>
      </c>
      <c r="W9" s="34" t="s">
        <v>726</v>
      </c>
      <c r="X9" s="34" t="s">
        <v>726</v>
      </c>
      <c r="Y9" s="63" t="s">
        <v>726</v>
      </c>
      <c r="Z9" s="63" t="s">
        <v>726</v>
      </c>
      <c r="AA9" s="34" t="s">
        <v>726</v>
      </c>
      <c r="AB9" s="88" t="s">
        <v>1613</v>
      </c>
      <c r="AC9" s="63" t="s">
        <v>726</v>
      </c>
      <c r="AD9" s="92" t="s">
        <v>186</v>
      </c>
      <c r="AE9" s="85" t="s">
        <v>272</v>
      </c>
      <c r="AF9" t="str">
        <f>TOOLS!W9</f>
        <v>NF12075C21_1.5ISO_AC</v>
      </c>
      <c r="AG9" s="25">
        <v>7</v>
      </c>
      <c r="AH9" s="6">
        <v>40</v>
      </c>
      <c r="AI9" s="8">
        <v>0.7</v>
      </c>
      <c r="AJ9" s="9"/>
      <c r="AK9" s="9"/>
      <c r="AL9" s="9"/>
      <c r="AN9" s="7">
        <f t="shared" si="1"/>
        <v>0.8270614878308038</v>
      </c>
      <c r="AO9" s="167">
        <f t="shared" si="0"/>
        <v>5.6447393005377719E-3</v>
      </c>
      <c r="AU9" s="7" t="s">
        <v>965</v>
      </c>
      <c r="AV9" s="27">
        <f>LOOKUP(C16,AV10:AV19,AU10:AU19)</f>
        <v>1</v>
      </c>
      <c r="AY9" s="39" t="s">
        <v>881</v>
      </c>
      <c r="AZ9" s="33" t="str">
        <f>IF(AV42=4,10000,"")</f>
        <v/>
      </c>
      <c r="BA9" s="33"/>
      <c r="BB9" s="39">
        <v>2</v>
      </c>
      <c r="BC9" s="44" t="str">
        <f>LOOKUP(AZ$54,BD$5:CN$5,BD9:CN9)</f>
        <v>G00 G91 Z-22.</v>
      </c>
      <c r="BD9" s="44" t="s">
        <v>1647</v>
      </c>
      <c r="BE9" s="43" t="str">
        <f>CONCATENATE(CP9,CQ9,CR9,CS9,CT9)</f>
        <v>G00 G91 Z-22.</v>
      </c>
      <c r="BF9" s="43" t="str">
        <f>CONCATENATE(BB9,CP76)</f>
        <v>2 L M3</v>
      </c>
      <c r="BG9" s="43" t="str">
        <f>BE9</f>
        <v>G00 G91 Z-22.</v>
      </c>
      <c r="BH9" s="43" t="str">
        <f>BF9</f>
        <v>2 L M3</v>
      </c>
      <c r="BI9" s="43" t="str">
        <f>BE9</f>
        <v>G00 G91 Z-22.</v>
      </c>
      <c r="BJ9" s="43" t="str">
        <f>BH9</f>
        <v>2 L M3</v>
      </c>
      <c r="BK9" s="43" t="str">
        <f t="shared" ref="BK9:BP9" si="6">BE9</f>
        <v>G00 G91 Z-22.</v>
      </c>
      <c r="BL9" s="43" t="str">
        <f t="shared" si="6"/>
        <v>2 L M3</v>
      </c>
      <c r="BM9" s="43" t="str">
        <f t="shared" si="6"/>
        <v>G00 G91 Z-22.</v>
      </c>
      <c r="BN9" s="43" t="str">
        <f t="shared" si="6"/>
        <v>2 L M3</v>
      </c>
      <c r="BO9" s="43" t="str">
        <f t="shared" si="6"/>
        <v>G00 G91 Z-22.</v>
      </c>
      <c r="BP9" s="43" t="str">
        <f t="shared" si="6"/>
        <v>2 L M3</v>
      </c>
      <c r="BQ9" s="43" t="str">
        <f t="shared" ref="BQ9:BV9" si="7">BE9</f>
        <v>G00 G91 Z-22.</v>
      </c>
      <c r="BR9" s="43" t="str">
        <f t="shared" si="7"/>
        <v>2 L M3</v>
      </c>
      <c r="BS9" s="43" t="str">
        <f t="shared" si="7"/>
        <v>G00 G91 Z-22.</v>
      </c>
      <c r="BT9" s="43" t="str">
        <f t="shared" si="7"/>
        <v>2 L M3</v>
      </c>
      <c r="BU9" s="43" t="str">
        <f t="shared" si="7"/>
        <v>G00 G91 Z-22.</v>
      </c>
      <c r="BV9" s="125" t="str">
        <f t="shared" si="7"/>
        <v>2 L M3</v>
      </c>
      <c r="BW9" s="43" t="str">
        <f t="shared" ref="BW9:CB9" si="8">BE9</f>
        <v>G00 G91 Z-22.</v>
      </c>
      <c r="BX9" s="125" t="str">
        <f t="shared" si="8"/>
        <v>2 L M3</v>
      </c>
      <c r="BY9" s="43" t="str">
        <f t="shared" si="8"/>
        <v>G00 G91 Z-22.</v>
      </c>
      <c r="BZ9" s="125" t="str">
        <f t="shared" si="8"/>
        <v>2 L M3</v>
      </c>
      <c r="CA9" s="43" t="str">
        <f t="shared" si="8"/>
        <v>G00 G91 Z-22.</v>
      </c>
      <c r="CB9" s="125" t="str">
        <f t="shared" si="8"/>
        <v>2 L M3</v>
      </c>
      <c r="CC9" s="43" t="str">
        <f>CONCATENATE(CP9,CQ9," G94",CR9,CS9,CT9)</f>
        <v>G00 G91 G94 Z-22.</v>
      </c>
      <c r="CD9" s="43" t="str">
        <f>CC9</f>
        <v>G00 G91 G94 Z-22.</v>
      </c>
      <c r="CE9" s="43" t="str">
        <f>CC9</f>
        <v>G00 G91 G94 Z-22.</v>
      </c>
      <c r="CF9" s="43" t="str">
        <f>CC9</f>
        <v>G00 G91 G94 Z-22.</v>
      </c>
      <c r="CG9" s="43" t="str">
        <f>CD9</f>
        <v>G00 G91 G94 Z-22.</v>
      </c>
      <c r="CH9" s="43" t="str">
        <f>CE9</f>
        <v>G00 G91 G94 Z-22.</v>
      </c>
      <c r="CI9" s="43" t="str">
        <f>CC9</f>
        <v>G00 G91 G94 Z-22.</v>
      </c>
      <c r="CJ9" s="43" t="str">
        <f>CD9</f>
        <v>G00 G91 G94 Z-22.</v>
      </c>
      <c r="CK9" s="43" t="str">
        <f>CE9</f>
        <v>G00 G91 G94 Z-22.</v>
      </c>
      <c r="CL9" s="43" t="str">
        <f>CC9</f>
        <v>G00 G91 G94 Z-22.</v>
      </c>
      <c r="CM9" s="43" t="str">
        <f>CD9</f>
        <v>G00 G91 G94 Z-22.</v>
      </c>
      <c r="CN9" s="43" t="str">
        <f>CE9</f>
        <v>G00 G91 G94 Z-22.</v>
      </c>
      <c r="CO9" s="48">
        <v>2</v>
      </c>
      <c r="CP9" s="18" t="s">
        <v>565</v>
      </c>
      <c r="CQ9" s="18" t="s">
        <v>566</v>
      </c>
      <c r="CR9" s="18" t="s">
        <v>567</v>
      </c>
      <c r="CS9" s="18" t="str">
        <f>SUBSTITUTE(CS7,",",".")</f>
        <v>-22</v>
      </c>
      <c r="CT9" s="18" t="str">
        <f>IF(CS7=CS8,".","")</f>
        <v>.</v>
      </c>
      <c r="CU9" s="18"/>
      <c r="CV9" s="18"/>
      <c r="CW9" s="18"/>
      <c r="CX9" s="18"/>
      <c r="CY9" s="18"/>
      <c r="CZ9" s="18"/>
      <c r="DD9" s="48"/>
      <c r="DE9" s="18"/>
      <c r="DF9" s="18"/>
      <c r="DG9" s="18"/>
      <c r="DH9" s="18"/>
      <c r="DI9" s="18"/>
      <c r="DJ9" s="18"/>
      <c r="DK9" s="18"/>
      <c r="DL9" s="18"/>
      <c r="DM9" s="18"/>
      <c r="DN9" s="18"/>
      <c r="DO9" s="18"/>
      <c r="DP9" s="18"/>
      <c r="DQ9" s="18"/>
      <c r="DR9" s="18"/>
      <c r="DS9" s="48"/>
      <c r="DT9" s="18"/>
      <c r="DU9" s="18"/>
      <c r="DV9" s="18"/>
      <c r="DW9" s="18"/>
      <c r="DX9" s="18"/>
      <c r="DY9" s="18"/>
      <c r="DZ9" s="18"/>
      <c r="EA9" s="18"/>
      <c r="EB9" s="18"/>
      <c r="EC9" s="18"/>
      <c r="ED9" s="18"/>
      <c r="EE9" s="18"/>
      <c r="EF9" s="18"/>
      <c r="EG9" s="18"/>
    </row>
    <row r="10" spans="1:206" ht="20" customHeight="1">
      <c r="A10" s="139"/>
      <c r="B10" s="139"/>
      <c r="C10" s="139"/>
      <c r="D10" s="139"/>
      <c r="E10" s="140"/>
      <c r="F10" s="138" t="str">
        <f>IF(BC24=0,"",BC24)</f>
        <v>G01 G40 X-0.625 Y-0.625</v>
      </c>
      <c r="G10" s="138"/>
      <c r="I10" s="5" t="str">
        <f t="shared" si="5"/>
        <v>Num</v>
      </c>
      <c r="J10" s="34" t="s">
        <v>727</v>
      </c>
      <c r="K10" s="63" t="s">
        <v>727</v>
      </c>
      <c r="L10" s="63" t="s">
        <v>727</v>
      </c>
      <c r="M10" s="34" t="s">
        <v>727</v>
      </c>
      <c r="N10" s="63" t="s">
        <v>727</v>
      </c>
      <c r="O10" s="63" t="s">
        <v>727</v>
      </c>
      <c r="P10" s="34" t="s">
        <v>727</v>
      </c>
      <c r="Q10" s="34" t="s">
        <v>727</v>
      </c>
      <c r="R10" s="34" t="s">
        <v>727</v>
      </c>
      <c r="S10" s="34" t="s">
        <v>727</v>
      </c>
      <c r="T10" s="34" t="s">
        <v>727</v>
      </c>
      <c r="U10" s="34" t="s">
        <v>727</v>
      </c>
      <c r="V10" s="34" t="s">
        <v>727</v>
      </c>
      <c r="W10" s="34" t="s">
        <v>727</v>
      </c>
      <c r="X10" s="34" t="s">
        <v>604</v>
      </c>
      <c r="Y10" s="63" t="s">
        <v>727</v>
      </c>
      <c r="Z10" s="63" t="s">
        <v>727</v>
      </c>
      <c r="AA10" s="34" t="s">
        <v>727</v>
      </c>
      <c r="AB10" s="34" t="s">
        <v>727</v>
      </c>
      <c r="AC10" s="63" t="s">
        <v>727</v>
      </c>
      <c r="AD10" s="93" t="s">
        <v>187</v>
      </c>
      <c r="AE10" s="85" t="s">
        <v>273</v>
      </c>
      <c r="AF10" t="str">
        <f>TOOLS!W10</f>
        <v>NF12075C27_1.5ISO_AC</v>
      </c>
      <c r="AG10" s="25">
        <v>8</v>
      </c>
      <c r="AH10" s="6">
        <v>28</v>
      </c>
      <c r="AI10" s="8">
        <v>0.6</v>
      </c>
      <c r="AK10" s="25"/>
      <c r="AN10" s="7">
        <f t="shared" si="1"/>
        <v>0.95112071100542428</v>
      </c>
      <c r="AO10" s="167">
        <f t="shared" si="0"/>
        <v>6.2092132305915492E-3</v>
      </c>
      <c r="AQ10" s="13" t="s">
        <v>935</v>
      </c>
      <c r="AR10" s="59">
        <v>1</v>
      </c>
      <c r="AU10" s="25">
        <v>1</v>
      </c>
      <c r="AV10" s="25">
        <v>0</v>
      </c>
      <c r="AY10" s="39" t="s">
        <v>561</v>
      </c>
      <c r="AZ10" s="33"/>
      <c r="BA10" s="33"/>
      <c r="BB10" s="39"/>
      <c r="BC10" s="44"/>
      <c r="BD10" s="44"/>
      <c r="BO10" s="43"/>
      <c r="BP10" s="43"/>
      <c r="BQ10" s="43"/>
      <c r="CO10" s="48"/>
      <c r="CP10" s="18"/>
      <c r="CQ10" s="18"/>
      <c r="CR10" s="18"/>
      <c r="CS10" s="18">
        <f>AV57</f>
        <v>0.625</v>
      </c>
      <c r="CT10" s="18"/>
      <c r="CU10" s="18">
        <f>-AV57</f>
        <v>-0.625</v>
      </c>
      <c r="CV10" s="18"/>
      <c r="CW10" s="18"/>
      <c r="CX10" s="18"/>
      <c r="CY10" s="18"/>
      <c r="CZ10" s="18"/>
      <c r="DD10" s="48"/>
      <c r="DE10" s="18"/>
      <c r="DF10" s="18"/>
      <c r="DG10" s="18"/>
      <c r="DH10" s="18">
        <f>AW62</f>
        <v>0.49299999999999999</v>
      </c>
      <c r="DI10" s="18"/>
      <c r="DJ10" s="18">
        <f>-AW62</f>
        <v>-0.49299999999999999</v>
      </c>
      <c r="DK10" s="18"/>
      <c r="DL10" s="18"/>
      <c r="DM10" s="18"/>
      <c r="DN10" s="18"/>
      <c r="DO10" s="18"/>
      <c r="DP10" s="25"/>
      <c r="DQ10" s="25"/>
      <c r="DR10" s="25"/>
      <c r="DS10" s="48"/>
      <c r="DT10" s="18"/>
      <c r="DU10" s="18"/>
      <c r="DV10" s="18"/>
      <c r="DW10" s="18">
        <f>AW68</f>
        <v>0.42299999999999999</v>
      </c>
      <c r="DX10" s="18"/>
      <c r="DY10" s="18">
        <f>-AW68</f>
        <v>-0.42299999999999999</v>
      </c>
      <c r="DZ10" s="18"/>
      <c r="EA10" s="18"/>
      <c r="EB10" s="18"/>
      <c r="EC10" s="18"/>
      <c r="ED10" s="18"/>
      <c r="EE10" s="25"/>
      <c r="EF10" s="25"/>
      <c r="EG10" s="25"/>
      <c r="EH10" s="48"/>
    </row>
    <row r="11" spans="1:206" ht="20" customHeight="1">
      <c r="A11" s="139"/>
      <c r="B11" s="139"/>
      <c r="C11" s="139"/>
      <c r="D11" s="139"/>
      <c r="E11" s="140"/>
      <c r="F11" s="138" t="str">
        <f>IF(BC27=0,"",BC27)</f>
        <v>G00 Z20.124</v>
      </c>
      <c r="G11" s="145"/>
      <c r="I11" s="5" t="str">
        <f t="shared" si="5"/>
        <v>Fagor</v>
      </c>
      <c r="J11" s="34" t="s">
        <v>728</v>
      </c>
      <c r="K11" s="63" t="s">
        <v>728</v>
      </c>
      <c r="L11" s="63" t="s">
        <v>728</v>
      </c>
      <c r="M11" s="34" t="s">
        <v>728</v>
      </c>
      <c r="N11" s="63" t="s">
        <v>728</v>
      </c>
      <c r="O11" s="63" t="s">
        <v>728</v>
      </c>
      <c r="P11" s="34" t="s">
        <v>728</v>
      </c>
      <c r="Q11" s="34" t="s">
        <v>728</v>
      </c>
      <c r="R11" s="34" t="s">
        <v>728</v>
      </c>
      <c r="S11" s="34" t="s">
        <v>728</v>
      </c>
      <c r="T11" s="34" t="s">
        <v>728</v>
      </c>
      <c r="U11" s="34" t="s">
        <v>728</v>
      </c>
      <c r="V11" s="34" t="s">
        <v>728</v>
      </c>
      <c r="W11" s="34" t="s">
        <v>728</v>
      </c>
      <c r="X11" s="34" t="s">
        <v>728</v>
      </c>
      <c r="Y11" s="63" t="s">
        <v>728</v>
      </c>
      <c r="Z11" s="63" t="s">
        <v>728</v>
      </c>
      <c r="AA11" s="34" t="s">
        <v>728</v>
      </c>
      <c r="AB11" s="34" t="s">
        <v>728</v>
      </c>
      <c r="AC11" s="63" t="s">
        <v>728</v>
      </c>
      <c r="AD11" s="92" t="s">
        <v>188</v>
      </c>
      <c r="AE11" s="85" t="s">
        <v>274</v>
      </c>
      <c r="AF11" t="str">
        <f>TOOLS!W11</f>
        <v>NM08075E22_1.5ISO_AC</v>
      </c>
      <c r="AG11" s="25">
        <v>9</v>
      </c>
      <c r="AH11" s="6">
        <v>138</v>
      </c>
      <c r="AI11" s="8">
        <v>1.2</v>
      </c>
      <c r="AK11" s="59">
        <v>1</v>
      </c>
      <c r="AL11" s="7" t="s">
        <v>772</v>
      </c>
      <c r="AN11" s="7">
        <f t="shared" si="1"/>
        <v>1.0937888176562378</v>
      </c>
      <c r="AO11" s="167">
        <f t="shared" si="0"/>
        <v>6.830134553650705E-3</v>
      </c>
      <c r="AQ11" s="34"/>
      <c r="AU11" s="25">
        <v>2</v>
      </c>
      <c r="AV11" s="35">
        <f>AV4</f>
        <v>21.751000000000001</v>
      </c>
      <c r="AX11" s="59">
        <v>1</v>
      </c>
      <c r="AY11" s="39" t="s">
        <v>882</v>
      </c>
      <c r="AZ11" s="33" t="str">
        <f>IF(AX11=2,1000000,"")</f>
        <v/>
      </c>
      <c r="BA11" s="33"/>
      <c r="BB11" s="39"/>
      <c r="BC11" s="44"/>
      <c r="BD11" s="44"/>
      <c r="BO11" s="43"/>
      <c r="BP11" s="43"/>
      <c r="BQ11" s="43"/>
      <c r="CS11" s="25">
        <f>INT(CS10)</f>
        <v>0</v>
      </c>
      <c r="CU11" s="25">
        <f>INT(CU10)</f>
        <v>-1</v>
      </c>
      <c r="DD11" s="45"/>
      <c r="DE11"/>
      <c r="DF11"/>
      <c r="DG11"/>
      <c r="DH11" s="25">
        <f>INT(DH10)</f>
        <v>0</v>
      </c>
      <c r="DI11"/>
      <c r="DJ11" s="25">
        <f>INT(DJ10)</f>
        <v>-1</v>
      </c>
      <c r="DK11"/>
      <c r="DL11"/>
      <c r="DM11"/>
      <c r="DN11"/>
      <c r="DO11"/>
      <c r="DP11" s="25"/>
      <c r="DQ11" s="25"/>
      <c r="DR11" s="25"/>
      <c r="DW11" s="25">
        <f>INT(DW10)</f>
        <v>0</v>
      </c>
      <c r="DY11" s="25">
        <f>INT(DY10)</f>
        <v>-1</v>
      </c>
      <c r="EE11" s="25"/>
      <c r="EF11" s="25"/>
      <c r="EG11" s="25"/>
    </row>
    <row r="12" spans="1:206" ht="20" customHeight="1">
      <c r="A12" s="139"/>
      <c r="B12" s="139"/>
      <c r="C12" s="139"/>
      <c r="D12" s="146"/>
      <c r="E12" s="140"/>
      <c r="F12" s="138" t="str">
        <f>IF(BC30=0,"",BC30)</f>
        <v/>
      </c>
      <c r="G12" s="135"/>
      <c r="I12" s="5" t="str">
        <f t="shared" si="5"/>
        <v>Mazak</v>
      </c>
      <c r="J12" s="34" t="s">
        <v>729</v>
      </c>
      <c r="K12" s="63" t="s">
        <v>729</v>
      </c>
      <c r="L12" s="63" t="s">
        <v>729</v>
      </c>
      <c r="M12" s="34" t="s">
        <v>729</v>
      </c>
      <c r="N12" s="63" t="s">
        <v>729</v>
      </c>
      <c r="O12" s="63" t="s">
        <v>729</v>
      </c>
      <c r="P12" s="34" t="s">
        <v>729</v>
      </c>
      <c r="Q12" s="34" t="s">
        <v>729</v>
      </c>
      <c r="R12" s="34" t="s">
        <v>729</v>
      </c>
      <c r="S12" s="34" t="s">
        <v>729</v>
      </c>
      <c r="T12" s="34" t="s">
        <v>729</v>
      </c>
      <c r="U12" s="34" t="s">
        <v>729</v>
      </c>
      <c r="V12" s="34" t="s">
        <v>729</v>
      </c>
      <c r="W12" s="34" t="s">
        <v>729</v>
      </c>
      <c r="X12" s="34" t="s">
        <v>729</v>
      </c>
      <c r="Y12" s="63" t="s">
        <v>729</v>
      </c>
      <c r="Z12" s="63" t="s">
        <v>729</v>
      </c>
      <c r="AA12" s="34" t="s">
        <v>729</v>
      </c>
      <c r="AB12" s="88" t="s">
        <v>1614</v>
      </c>
      <c r="AC12" s="63" t="s">
        <v>729</v>
      </c>
      <c r="AD12" s="92" t="s">
        <v>189</v>
      </c>
      <c r="AE12" s="85" t="s">
        <v>275</v>
      </c>
      <c r="AF12" t="str">
        <f>TOOLS!W12</f>
        <v>NM08075E32_1.5ISO_AC</v>
      </c>
      <c r="AG12" s="25">
        <v>10</v>
      </c>
      <c r="AH12" s="6">
        <v>113</v>
      </c>
      <c r="AI12" s="8">
        <v>1.1000000000000001</v>
      </c>
      <c r="AJ12" s="9" t="s">
        <v>814</v>
      </c>
      <c r="AK12" s="23">
        <f>LOOKUP(AK11,TOOLS!A$2:A$30,TOOLS!S$2:S$30)</f>
        <v>391</v>
      </c>
      <c r="AL12" s="26">
        <f>LOOKUP(AK13,AN3:AN39,AO3:AO39)</f>
        <v>3.1384283767210024E-2</v>
      </c>
      <c r="AN12" s="7">
        <f t="shared" si="1"/>
        <v>1.2578571403046734</v>
      </c>
      <c r="AO12" s="167">
        <f t="shared" si="0"/>
        <v>7.5131480090157758E-3</v>
      </c>
      <c r="AQ12" s="34"/>
      <c r="AU12" s="25">
        <v>3</v>
      </c>
      <c r="AV12" s="35">
        <f>AV11+AV7</f>
        <v>42.751000000000005</v>
      </c>
      <c r="AY12" s="39"/>
      <c r="AZ12" s="33"/>
      <c r="BB12" s="39">
        <v>3</v>
      </c>
      <c r="BC12" s="44" t="str">
        <f>LOOKUP(AZ$54,BD$5:CN$5,BD12:CN12)</f>
        <v>G01 G41 X0.625 Y-0.625 F53</v>
      </c>
      <c r="BD12" s="44"/>
      <c r="BE12" s="43" t="str">
        <f>CONCATENATE(CP12,CQ12,CR12,CS12,CT12,CU12,CV12,CW12)</f>
        <v>G01 G41 X0.625 Y-0.625 F53</v>
      </c>
      <c r="BF12" s="43" t="str">
        <f>CONCATENATE(BB12,CP79,CQ79,CR79)</f>
        <v>3 L IZ-22 FMAX</v>
      </c>
      <c r="BG12" s="43" t="str">
        <f>CONCATENATE(DE12,DF12,DG12,DH12,DI12,DJ12,DK12,DL12)</f>
        <v>G01 G41 X0.493 Y-0.493 F44</v>
      </c>
      <c r="BH12" s="43" t="str">
        <f>BF12</f>
        <v>3 L IZ-22 FMAX</v>
      </c>
      <c r="BI12" s="43" t="str">
        <f>CONCATENATE(DT12,DU12,DV12,DW12,DX12,DY12,DZ12,EA12)</f>
        <v>G01 G41 X0.423 Y-0.423 F39</v>
      </c>
      <c r="BJ12" s="43" t="str">
        <f>BH12</f>
        <v>3 L IZ-22 FMAX</v>
      </c>
      <c r="BK12" s="43" t="str">
        <f>CONCATENATE(EI12,EJ12)</f>
        <v>#1=1</v>
      </c>
      <c r="BL12" s="43" t="str">
        <f>BF12</f>
        <v>3 L IZ-22 FMAX</v>
      </c>
      <c r="BM12" s="43" t="str">
        <f>BK12</f>
        <v>#1=1</v>
      </c>
      <c r="BN12" s="43" t="str">
        <f>BL12</f>
        <v>3 L IZ-22 FMAX</v>
      </c>
      <c r="BO12" s="4" t="str">
        <f>BK12</f>
        <v>#1=1</v>
      </c>
      <c r="BP12" s="4" t="str">
        <f>BL12</f>
        <v>3 L IZ-22 FMAX</v>
      </c>
      <c r="BQ12" s="4" t="str">
        <f>BE12</f>
        <v>G01 G41 X0.625 Y-0.625 F53</v>
      </c>
      <c r="BR12" s="43" t="str">
        <f t="shared" ref="BR12:BV12" si="9">BF12</f>
        <v>3 L IZ-22 FMAX</v>
      </c>
      <c r="BS12" s="43" t="str">
        <f>BG12</f>
        <v>G01 G41 X0.493 Y-0.493 F44</v>
      </c>
      <c r="BT12" s="43" t="str">
        <f t="shared" si="9"/>
        <v>3 L IZ-22 FMAX</v>
      </c>
      <c r="BU12" s="43" t="str">
        <f>BI12</f>
        <v>G01 G41 X0.423 Y-0.423 F39</v>
      </c>
      <c r="BV12" s="125" t="str">
        <f t="shared" si="9"/>
        <v>3 L IZ-22 FMAX</v>
      </c>
      <c r="BW12" s="43" t="str">
        <f>BE12</f>
        <v>G01 G41 X0.625 Y-0.625 F53</v>
      </c>
      <c r="BX12" s="125" t="str">
        <f t="shared" ref="BX12:CB12" si="10">BF12</f>
        <v>3 L IZ-22 FMAX</v>
      </c>
      <c r="BY12" s="43" t="str">
        <f>BG12</f>
        <v>G01 G41 X0.493 Y-0.493 F44</v>
      </c>
      <c r="BZ12" s="125" t="str">
        <f t="shared" si="10"/>
        <v>3 L IZ-22 FMAX</v>
      </c>
      <c r="CA12" s="43" t="str">
        <f>BI12</f>
        <v>G01 G41 X0.423 Y-0.423 F39</v>
      </c>
      <c r="CB12" s="125" t="str">
        <f t="shared" si="10"/>
        <v>3 L IZ-22 FMAX</v>
      </c>
      <c r="CC12" s="43" t="s">
        <v>640</v>
      </c>
      <c r="CD12" s="43" t="str">
        <f>CC12</f>
        <v>G12.1</v>
      </c>
      <c r="CE12" s="43" t="str">
        <f>CC12</f>
        <v>G12.1</v>
      </c>
      <c r="CF12" s="43" t="str">
        <f>CC12</f>
        <v>G12.1</v>
      </c>
      <c r="CG12" s="43" t="str">
        <f>CD12</f>
        <v>G12.1</v>
      </c>
      <c r="CH12" s="43" t="str">
        <f>CE12</f>
        <v>G12.1</v>
      </c>
      <c r="CI12" s="43" t="str">
        <f>CC12</f>
        <v>G12.1</v>
      </c>
      <c r="CJ12" s="43" t="str">
        <f>CD12</f>
        <v>G12.1</v>
      </c>
      <c r="CK12" s="43" t="str">
        <f>CE12</f>
        <v>G12.1</v>
      </c>
      <c r="CL12" s="43" t="str">
        <f>CC12</f>
        <v>G12.1</v>
      </c>
      <c r="CM12" s="43" t="str">
        <f>CD12</f>
        <v>G12.1</v>
      </c>
      <c r="CN12" s="43" t="str">
        <f>CE12</f>
        <v>G12.1</v>
      </c>
      <c r="CO12" s="48">
        <v>3</v>
      </c>
      <c r="CP12" s="18" t="s">
        <v>568</v>
      </c>
      <c r="CQ12" s="18" t="s">
        <v>569</v>
      </c>
      <c r="CR12" s="18" t="s">
        <v>570</v>
      </c>
      <c r="CS12" s="18" t="str">
        <f>SUBSTITUTE(CS10,",",".")</f>
        <v>0.625</v>
      </c>
      <c r="CT12" s="18" t="str">
        <f>IF(CS10=CS11,". Y"," Y")</f>
        <v xml:space="preserve"> Y</v>
      </c>
      <c r="CU12" s="18" t="str">
        <f>SUBSTITUTE(CU10,",",".")</f>
        <v>-0.625</v>
      </c>
      <c r="CV12" s="18" t="str">
        <f>IF(CU10=CU11,". F"," F")</f>
        <v xml:space="preserve"> F</v>
      </c>
      <c r="CW12" s="6">
        <f>ROUND(C31*0.5,0)</f>
        <v>53</v>
      </c>
      <c r="CX12" s="18"/>
      <c r="CY12" s="18"/>
      <c r="CZ12" s="18"/>
      <c r="DD12" s="48">
        <v>3</v>
      </c>
      <c r="DE12" s="18" t="s">
        <v>568</v>
      </c>
      <c r="DF12" s="18" t="s">
        <v>569</v>
      </c>
      <c r="DG12" s="18" t="s">
        <v>570</v>
      </c>
      <c r="DH12" s="18" t="str">
        <f>SUBSTITUTE(DH10,",",".")</f>
        <v>0.493</v>
      </c>
      <c r="DI12" s="18" t="str">
        <f>IF(DH10=DH11,". Y"," Y")</f>
        <v xml:space="preserve"> Y</v>
      </c>
      <c r="DJ12" s="18" t="str">
        <f>SUBSTITUTE(DJ10,",",".")</f>
        <v>-0.493</v>
      </c>
      <c r="DK12" s="18" t="str">
        <f>IF(DJ10=DJ11,". F"," F")</f>
        <v xml:space="preserve"> F</v>
      </c>
      <c r="DL12" s="6">
        <f>ROUND(AX62*0.5,0)</f>
        <v>44</v>
      </c>
      <c r="DM12" s="18"/>
      <c r="DN12" s="18"/>
      <c r="DO12" s="18"/>
      <c r="DP12" s="25"/>
      <c r="DQ12" s="25"/>
      <c r="DR12" s="25"/>
      <c r="DS12" s="48">
        <v>3</v>
      </c>
      <c r="DT12" s="18" t="s">
        <v>568</v>
      </c>
      <c r="DU12" s="18" t="s">
        <v>569</v>
      </c>
      <c r="DV12" s="18" t="s">
        <v>570</v>
      </c>
      <c r="DW12" s="18" t="str">
        <f>SUBSTITUTE(DW10,",",".")</f>
        <v>0.423</v>
      </c>
      <c r="DX12" s="18" t="str">
        <f>IF(DW10=DW11,". Y"," Y")</f>
        <v xml:space="preserve"> Y</v>
      </c>
      <c r="DY12" s="18" t="str">
        <f>SUBSTITUTE(DY10,",",".")</f>
        <v>-0.423</v>
      </c>
      <c r="DZ12" s="18" t="str">
        <f>IF(DY10=DY11,". F"," F")</f>
        <v xml:space="preserve"> F</v>
      </c>
      <c r="EA12" s="6">
        <f>ROUND(AX68*0.5,0)</f>
        <v>39</v>
      </c>
      <c r="EB12" s="18"/>
      <c r="EC12" s="18"/>
      <c r="ED12" s="18"/>
      <c r="EE12" s="25"/>
      <c r="EF12" s="25"/>
      <c r="EG12" s="25"/>
      <c r="EH12" s="48">
        <v>3</v>
      </c>
      <c r="EI12" s="120" t="s">
        <v>743</v>
      </c>
      <c r="EJ12" s="121">
        <f>AV9</f>
        <v>1</v>
      </c>
    </row>
    <row r="13" spans="1:206" ht="20" customHeight="1">
      <c r="A13" s="139"/>
      <c r="B13" s="139"/>
      <c r="C13" s="139"/>
      <c r="D13" s="146"/>
      <c r="E13" s="140"/>
      <c r="F13" s="138" t="str">
        <f>IF(BC33=0,"",BC33)</f>
        <v/>
      </c>
      <c r="G13" s="138" t="s">
        <v>799</v>
      </c>
      <c r="I13" s="5" t="str">
        <f>LOOKUP(H$27,J$2:AE$2,J13:AE13)</f>
        <v>Mitsubishi</v>
      </c>
      <c r="J13" s="34" t="s">
        <v>653</v>
      </c>
      <c r="K13" s="63" t="s">
        <v>653</v>
      </c>
      <c r="L13" s="63" t="s">
        <v>653</v>
      </c>
      <c r="M13" s="34" t="s">
        <v>653</v>
      </c>
      <c r="N13" s="63" t="s">
        <v>653</v>
      </c>
      <c r="O13" s="63" t="s">
        <v>653</v>
      </c>
      <c r="P13" s="34" t="s">
        <v>653</v>
      </c>
      <c r="Q13" s="34" t="s">
        <v>653</v>
      </c>
      <c r="R13" s="34" t="s">
        <v>653</v>
      </c>
      <c r="S13" s="34" t="s">
        <v>653</v>
      </c>
      <c r="T13" s="34" t="s">
        <v>653</v>
      </c>
      <c r="U13" s="34" t="s">
        <v>653</v>
      </c>
      <c r="V13" s="34" t="s">
        <v>653</v>
      </c>
      <c r="W13" s="34" t="s">
        <v>653</v>
      </c>
      <c r="X13" s="34" t="s">
        <v>653</v>
      </c>
      <c r="Y13" s="63" t="s">
        <v>653</v>
      </c>
      <c r="Z13" s="63" t="s">
        <v>653</v>
      </c>
      <c r="AA13" s="34" t="s">
        <v>653</v>
      </c>
      <c r="AB13" s="88" t="s">
        <v>1615</v>
      </c>
      <c r="AC13" s="63" t="s">
        <v>653</v>
      </c>
      <c r="AD13" s="92" t="s">
        <v>190</v>
      </c>
      <c r="AE13" s="85" t="s">
        <v>276</v>
      </c>
      <c r="AF13" t="str">
        <f>TOOLS!W13</f>
        <v>NS08075E22_P60_AC</v>
      </c>
      <c r="AG13" s="25">
        <v>11</v>
      </c>
      <c r="AH13" s="6">
        <v>113</v>
      </c>
      <c r="AI13" s="8">
        <v>1</v>
      </c>
      <c r="AJ13" s="9" t="s">
        <v>832</v>
      </c>
      <c r="AK13" s="27">
        <f>IF(D22&gt;0,D22,C22)</f>
        <v>7.5</v>
      </c>
      <c r="AN13" s="7">
        <f t="shared" si="1"/>
        <v>1.4465357113503743</v>
      </c>
      <c r="AO13" s="167">
        <f t="shared" si="0"/>
        <v>8.2644628099173539E-3</v>
      </c>
      <c r="AQ13" s="34"/>
      <c r="AU13" s="25">
        <v>4</v>
      </c>
      <c r="AV13" s="35">
        <f>AV12+AV7</f>
        <v>63.751000000000005</v>
      </c>
      <c r="AY13" s="39" t="s">
        <v>633</v>
      </c>
      <c r="AZ13" s="33">
        <f>SUM(AZ5:AZ11)</f>
        <v>11</v>
      </c>
      <c r="BA13" s="33"/>
      <c r="BB13" s="39"/>
      <c r="BC13" s="44"/>
      <c r="BD13" s="44"/>
      <c r="BO13" s="43"/>
      <c r="BP13" s="43"/>
      <c r="BQ13" s="43"/>
      <c r="CO13" s="48"/>
      <c r="CP13" s="18"/>
      <c r="CQ13" s="18"/>
      <c r="CR13" s="18">
        <f>AV57</f>
        <v>0.625</v>
      </c>
      <c r="CS13" s="18"/>
      <c r="CT13" s="18">
        <f>AV57</f>
        <v>0.625</v>
      </c>
      <c r="CU13" s="18"/>
      <c r="CV13" s="18">
        <f>ROUND(AR6/8,3)</f>
        <v>0.188</v>
      </c>
      <c r="CW13" s="18"/>
      <c r="CX13" s="18"/>
      <c r="CY13" s="18"/>
      <c r="CZ13" s="18">
        <f>AV57</f>
        <v>0.625</v>
      </c>
      <c r="DD13" s="48"/>
      <c r="DE13" s="18"/>
      <c r="DF13" s="18"/>
      <c r="DG13" s="18">
        <f>AW62</f>
        <v>0.49299999999999999</v>
      </c>
      <c r="DH13" s="18"/>
      <c r="DI13" s="18">
        <f>AW62</f>
        <v>0.49299999999999999</v>
      </c>
      <c r="DJ13" s="18"/>
      <c r="DK13" s="18">
        <f>ROUND(AR6/8,3)</f>
        <v>0.188</v>
      </c>
      <c r="DL13" s="18"/>
      <c r="DM13" s="18"/>
      <c r="DN13" s="18"/>
      <c r="DO13" s="18">
        <f>AW62</f>
        <v>0.49299999999999999</v>
      </c>
      <c r="DP13" s="25"/>
      <c r="DQ13" s="25"/>
      <c r="DR13" s="25"/>
      <c r="DS13" s="48"/>
      <c r="DT13" s="18"/>
      <c r="DU13" s="18"/>
      <c r="DV13" s="18">
        <f>AW68</f>
        <v>0.42299999999999999</v>
      </c>
      <c r="DW13" s="18"/>
      <c r="DX13" s="18">
        <f>AW68</f>
        <v>0.42299999999999999</v>
      </c>
      <c r="DY13" s="18"/>
      <c r="DZ13" s="18">
        <f>ROUND(AR6/8,3)</f>
        <v>0.188</v>
      </c>
      <c r="EA13" s="18"/>
      <c r="EB13" s="18"/>
      <c r="EC13" s="18"/>
      <c r="ED13" s="18">
        <f>AW68</f>
        <v>0.42299999999999999</v>
      </c>
      <c r="EE13" s="25"/>
      <c r="EF13" s="25"/>
      <c r="EG13" s="25"/>
      <c r="EH13" s="48"/>
    </row>
    <row r="14" spans="1:206" ht="20" customHeight="1">
      <c r="A14" s="139"/>
      <c r="B14" s="147" t="str">
        <f>I60</f>
        <v>D = diámetro de la rosca (mm)</v>
      </c>
      <c r="C14" s="150">
        <v>10</v>
      </c>
      <c r="D14" s="148">
        <v>1</v>
      </c>
      <c r="E14" s="140"/>
      <c r="F14" s="138" t="str">
        <f>IF(BC36=0,"",BC36)</f>
        <v/>
      </c>
      <c r="G14" s="145">
        <v>43006</v>
      </c>
      <c r="I14" s="5"/>
      <c r="J14" s="34"/>
      <c r="K14" s="63"/>
      <c r="AA14" s="74"/>
      <c r="AD14" s="93"/>
      <c r="AF14" t="str">
        <f>TOOLS!W14</f>
        <v>NS08075E32_P60_AC</v>
      </c>
      <c r="AG14" s="25">
        <v>12</v>
      </c>
      <c r="AH14" s="6">
        <v>90</v>
      </c>
      <c r="AI14" s="8">
        <v>0.9</v>
      </c>
      <c r="AN14" s="7">
        <f t="shared" si="1"/>
        <v>1.6635160680529304</v>
      </c>
      <c r="AO14" s="167">
        <f>AO15/1.1</f>
        <v>9.0909090909090905E-3</v>
      </c>
      <c r="AU14" s="25">
        <v>5</v>
      </c>
      <c r="AV14" s="35">
        <f>AV13+AV7</f>
        <v>84.751000000000005</v>
      </c>
      <c r="AY14" s="33"/>
      <c r="AZ14" s="33"/>
      <c r="BA14" s="33"/>
      <c r="BB14" s="39"/>
      <c r="BC14" s="44"/>
      <c r="BD14" s="44"/>
      <c r="BO14" s="43"/>
      <c r="BP14" s="43"/>
      <c r="BQ14" s="43"/>
      <c r="CO14" s="47"/>
      <c r="CP14" s="25"/>
      <c r="CQ14" s="25"/>
      <c r="CR14" s="25">
        <f>INT(CR13)</f>
        <v>0</v>
      </c>
      <c r="CS14" s="25"/>
      <c r="CT14" s="25">
        <f>INT(CT13)</f>
        <v>0</v>
      </c>
      <c r="CU14" s="25"/>
      <c r="CV14" s="25">
        <f>INT(CV13)</f>
        <v>0</v>
      </c>
      <c r="CW14" s="25"/>
      <c r="CX14" s="25"/>
      <c r="CY14" s="25"/>
      <c r="CZ14" s="25">
        <f>INT(CZ13)</f>
        <v>0</v>
      </c>
      <c r="DG14" s="25">
        <f>INT(DG13)</f>
        <v>0</v>
      </c>
      <c r="DI14" s="25">
        <f>INT(DI13)</f>
        <v>0</v>
      </c>
      <c r="DK14" s="25">
        <f>INT(DK13)</f>
        <v>0</v>
      </c>
      <c r="DO14" s="25">
        <f>INT(DO13)</f>
        <v>0</v>
      </c>
      <c r="DP14" s="25"/>
      <c r="DQ14" s="25"/>
      <c r="DR14" s="25"/>
      <c r="DS14" s="47"/>
      <c r="DT14" s="25"/>
      <c r="DU14" s="25"/>
      <c r="DV14" s="25">
        <f>INT(DV13)</f>
        <v>0</v>
      </c>
      <c r="DW14" s="25"/>
      <c r="DX14" s="25">
        <f>INT(DX13)</f>
        <v>0</v>
      </c>
      <c r="DY14" s="25"/>
      <c r="DZ14" s="25">
        <f>INT(DZ13)</f>
        <v>0</v>
      </c>
      <c r="EA14" s="25"/>
      <c r="EB14" s="25"/>
      <c r="EC14" s="25"/>
      <c r="ED14" s="25">
        <f>INT(ED13)</f>
        <v>0</v>
      </c>
      <c r="EE14" s="25"/>
      <c r="EF14" s="25"/>
      <c r="EG14" s="25"/>
      <c r="EH14" s="47"/>
    </row>
    <row r="15" spans="1:206" ht="20" customHeight="1">
      <c r="A15" s="139"/>
      <c r="B15" s="147" t="str">
        <f>IF(AR10=1,I61,I62)</f>
        <v>P = paso (mm)</v>
      </c>
      <c r="C15" s="151">
        <v>1.5</v>
      </c>
      <c r="D15" s="148">
        <v>2</v>
      </c>
      <c r="E15" s="140"/>
      <c r="F15" s="138" t="str">
        <f>IF(BC39=0,"",BC39)</f>
        <v/>
      </c>
      <c r="G15" s="135"/>
      <c r="I15" s="5"/>
      <c r="J15" s="34"/>
      <c r="K15" s="63"/>
      <c r="AA15" s="74"/>
      <c r="AD15" s="93"/>
      <c r="AF15" t="str">
        <f>TOOLS!W15</f>
        <v/>
      </c>
      <c r="AG15" s="25">
        <v>13</v>
      </c>
      <c r="AH15" s="6">
        <v>138</v>
      </c>
      <c r="AI15" s="8">
        <v>1</v>
      </c>
      <c r="AJ15" s="9" t="s">
        <v>834</v>
      </c>
      <c r="AK15" s="27">
        <f>IF(D24&gt;0,D24,C24)</f>
        <v>3</v>
      </c>
      <c r="AN15" s="7">
        <f>AN16/1.15</f>
        <v>1.9130434782608698</v>
      </c>
      <c r="AO15" s="11">
        <v>0.01</v>
      </c>
      <c r="AU15" s="25">
        <v>6</v>
      </c>
      <c r="AV15" s="35">
        <f>AV14+AV7</f>
        <v>105.751</v>
      </c>
      <c r="AY15" s="33">
        <v>10111</v>
      </c>
      <c r="AZ15" s="33">
        <f t="shared" ref="AZ15:AZ38" si="11">(IF(AZ$13=AY15,AZ$13,0))</f>
        <v>0</v>
      </c>
      <c r="BA15" s="33"/>
      <c r="BB15" s="39">
        <v>4</v>
      </c>
      <c r="BC15" s="44" t="str">
        <f>LOOKUP(AZ$54,BD$5:CN$5,BD15:CN15)</f>
        <v>G03 X0.625 Y0.625 Z0.188 I0. J0.625</v>
      </c>
      <c r="BD15" s="44"/>
      <c r="BE15" s="43" t="str">
        <f>CONCATENATE(CP15,CQ15,CR15,CS15,CT15,CU15,CV15,CW15,CX15,CY15,CZ15,DA15)</f>
        <v>G03 X0.625 Y0.625 Z0.188 I0. J0.625</v>
      </c>
      <c r="BF15" s="43" t="str">
        <f>CONCATENATE(BB15,CP82,CQ82,CR82,CS82,CT82,CU82)</f>
        <v>4 L IX+0.625 IY-0.625 RL F53</v>
      </c>
      <c r="BG15" s="43" t="str">
        <f>CONCATENATE(DE15,DF15,DG15,DH15,DI15,DJ15,DK15,DL15,DM15,DN15,DO15,DP15)</f>
        <v>G03 X0.493 Y0.493 Z0.188 I0. J0.493</v>
      </c>
      <c r="BH15" s="43" t="str">
        <f>CONCATENATE(BB15,DE82,DF82,DG82,DH82,DI82,DJ82)</f>
        <v>4 L IX+0.493 IY-0.493 RL F44</v>
      </c>
      <c r="BI15" s="43" t="str">
        <f>CONCATENATE(DT15,DU15,DV15,DW15,DX15,DY15,DZ15,EA15,EB15,EC15,ED15,EE15)</f>
        <v>G03 X0.423 Y0.423 Z0.188 I0. J0.423</v>
      </c>
      <c r="BJ15" s="43" t="str">
        <f>CONCATENATE(BB15,DT82,DU82,DV82,DW82,DX82,DY82)</f>
        <v>4 L IX+0.423 IY-0.423 RL F39</v>
      </c>
      <c r="BK15" s="43" t="str">
        <f>EI15</f>
        <v>#2=0</v>
      </c>
      <c r="BL15" s="43" t="str">
        <f>CONCATENATE(BB15,EI82,EJ82)</f>
        <v>4 FN 0: Q1 =+1</v>
      </c>
      <c r="BM15" s="43" t="str">
        <f>BK15</f>
        <v>#2=0</v>
      </c>
      <c r="BN15" s="43" t="str">
        <f>BL15</f>
        <v>4 FN 0: Q1 =+1</v>
      </c>
      <c r="BO15" s="43" t="str">
        <f>BK15</f>
        <v>#2=0</v>
      </c>
      <c r="BP15" s="4" t="str">
        <f>BL15</f>
        <v>4 FN 0: Q1 =+1</v>
      </c>
      <c r="BQ15" s="43" t="str">
        <f t="shared" ref="BQ15:BU15" si="12">BE15</f>
        <v>G03 X0.625 Y0.625 Z0.188 I0. J0.625</v>
      </c>
      <c r="BR15" s="43" t="str">
        <f>BF15</f>
        <v>4 L IX+0.625 IY-0.625 RL F53</v>
      </c>
      <c r="BS15" s="43" t="str">
        <f t="shared" si="12"/>
        <v>G03 X0.493 Y0.493 Z0.188 I0. J0.493</v>
      </c>
      <c r="BT15" s="43" t="str">
        <f>BH15</f>
        <v>4 L IX+0.493 IY-0.493 RL F44</v>
      </c>
      <c r="BU15" s="43" t="str">
        <f t="shared" si="12"/>
        <v>G03 X0.423 Y0.423 Z0.188 I0. J0.423</v>
      </c>
      <c r="BV15" s="125" t="str">
        <f>BJ15</f>
        <v>4 L IX+0.423 IY-0.423 RL F39</v>
      </c>
      <c r="BW15" s="43" t="str">
        <f t="shared" ref="BW15:CA15" si="13">BE15</f>
        <v>G03 X0.625 Y0.625 Z0.188 I0. J0.625</v>
      </c>
      <c r="BX15" s="125" t="str">
        <f>BF15</f>
        <v>4 L IX+0.625 IY-0.625 RL F53</v>
      </c>
      <c r="BY15" s="43" t="str">
        <f t="shared" si="13"/>
        <v>G03 X0.493 Y0.493 Z0.188 I0. J0.493</v>
      </c>
      <c r="BZ15" s="125" t="str">
        <f>BH15</f>
        <v>4 L IX+0.493 IY-0.493 RL F44</v>
      </c>
      <c r="CA15" s="43" t="str">
        <f t="shared" si="13"/>
        <v>G03 X0.423 Y0.423 Z0.188 I0. J0.423</v>
      </c>
      <c r="CB15" s="125" t="str">
        <f>BJ15</f>
        <v>4 L IX+0.423 IY-0.423 RL F39</v>
      </c>
      <c r="CC15" s="43" t="str">
        <f>CONCATENATE(CP12,CQ12,CR12,CS12,GN15,CU12,CV12,CW12)</f>
        <v>G01 G41 X0.625 C-0.625 F53</v>
      </c>
      <c r="CD15" s="43" t="str">
        <f>CONCATENATE(DE12,DF12,DG12,DH12,GP15,DJ12,DK12,DL12)</f>
        <v>G01 G41 X0.493 C-0.493 F44</v>
      </c>
      <c r="CE15" s="43" t="str">
        <f>CONCATENATE(DT12,DU12,DV12,DW12,GR15,DY12,DZ12,EA12)</f>
        <v>G01 G41 X0.423 C-0.423 F39</v>
      </c>
      <c r="CF15" s="43" t="str">
        <f>BK12</f>
        <v>#1=1</v>
      </c>
      <c r="CG15" s="43" t="str">
        <f>CF15</f>
        <v>#1=1</v>
      </c>
      <c r="CH15" s="43" t="str">
        <f>CF15</f>
        <v>#1=1</v>
      </c>
      <c r="CI15" s="43" t="str">
        <f>CC15</f>
        <v>G01 G41 X0.625 C-0.625 F53</v>
      </c>
      <c r="CJ15" s="43" t="str">
        <f>CD15</f>
        <v>G01 G41 X0.493 C-0.493 F44</v>
      </c>
      <c r="CK15" s="43" t="str">
        <f>CE15</f>
        <v>G01 G41 X0.423 C-0.423 F39</v>
      </c>
      <c r="CL15" s="43" t="str">
        <f>CC15</f>
        <v>G01 G41 X0.625 C-0.625 F53</v>
      </c>
      <c r="CM15" s="43" t="str">
        <f>CD15</f>
        <v>G01 G41 X0.493 C-0.493 F44</v>
      </c>
      <c r="CN15" s="43" t="str">
        <f>CE15</f>
        <v>G01 G41 X0.423 C-0.423 F39</v>
      </c>
      <c r="CO15" s="48">
        <v>4</v>
      </c>
      <c r="CP15" s="18" t="s">
        <v>571</v>
      </c>
      <c r="CQ15" s="18" t="s">
        <v>570</v>
      </c>
      <c r="CR15" s="18" t="str">
        <f>SUBSTITUTE(CR13,",",".")</f>
        <v>0.625</v>
      </c>
      <c r="CS15" s="18" t="str">
        <f>IF(CR13=CR14,". Y"," Y")</f>
        <v xml:space="preserve"> Y</v>
      </c>
      <c r="CT15" s="18" t="str">
        <f>SUBSTITUTE(CT13,",",".")</f>
        <v>0.625</v>
      </c>
      <c r="CU15" s="18" t="str">
        <f>IF(CT13=CT14,". Z"," Z")</f>
        <v xml:space="preserve"> Z</v>
      </c>
      <c r="CV15" s="18" t="str">
        <f>SUBSTITUTE(CV13,",",".")</f>
        <v>0.188</v>
      </c>
      <c r="CW15" s="18" t="str">
        <f>IF(CV13=CV14,". I"," I")</f>
        <v xml:space="preserve"> I</v>
      </c>
      <c r="CX15" s="18">
        <v>0</v>
      </c>
      <c r="CY15" s="18" t="s">
        <v>575</v>
      </c>
      <c r="CZ15" s="18" t="str">
        <f>SUBSTITUTE(CZ13,",",".")</f>
        <v>0.625</v>
      </c>
      <c r="DA15" s="18" t="str">
        <f>IF(CZ13=CZ14,".","")</f>
        <v/>
      </c>
      <c r="DB15" s="18"/>
      <c r="DC15" s="18"/>
      <c r="DD15" s="48">
        <v>4</v>
      </c>
      <c r="DE15" s="18" t="s">
        <v>571</v>
      </c>
      <c r="DF15" s="18" t="s">
        <v>570</v>
      </c>
      <c r="DG15" s="18" t="str">
        <f>SUBSTITUTE(DG13,",",".")</f>
        <v>0.493</v>
      </c>
      <c r="DH15" s="18" t="str">
        <f>IF(DG13=DG14,". Y"," Y")</f>
        <v xml:space="preserve"> Y</v>
      </c>
      <c r="DI15" s="18" t="str">
        <f>SUBSTITUTE(DI13,",",".")</f>
        <v>0.493</v>
      </c>
      <c r="DJ15" s="18" t="str">
        <f>IF(DI13=DI14,". Z"," Z")</f>
        <v xml:space="preserve"> Z</v>
      </c>
      <c r="DK15" s="18" t="str">
        <f>SUBSTITUTE(DK13,",",".")</f>
        <v>0.188</v>
      </c>
      <c r="DL15" s="18" t="str">
        <f>IF(DK13=DK14,". I"," I")</f>
        <v xml:space="preserve"> I</v>
      </c>
      <c r="DM15" s="18">
        <v>0</v>
      </c>
      <c r="DN15" s="18" t="s">
        <v>575</v>
      </c>
      <c r="DO15" s="18" t="str">
        <f>SUBSTITUTE(DO13,",",".")</f>
        <v>0.493</v>
      </c>
      <c r="DP15" s="18" t="str">
        <f>IF(DO13=DO14,".","")</f>
        <v/>
      </c>
      <c r="DQ15" s="18"/>
      <c r="DR15" s="18"/>
      <c r="DS15" s="48">
        <v>4</v>
      </c>
      <c r="DT15" s="18" t="s">
        <v>571</v>
      </c>
      <c r="DU15" s="18" t="s">
        <v>570</v>
      </c>
      <c r="DV15" s="18" t="str">
        <f>SUBSTITUTE(DV13,",",".")</f>
        <v>0.423</v>
      </c>
      <c r="DW15" s="18" t="str">
        <f>IF(DV13=DV14,". Y"," Y")</f>
        <v xml:space="preserve"> Y</v>
      </c>
      <c r="DX15" s="18" t="str">
        <f>SUBSTITUTE(DX13,",",".")</f>
        <v>0.423</v>
      </c>
      <c r="DY15" s="18" t="str">
        <f>IF(DX13=DX14,". Z"," Z")</f>
        <v xml:space="preserve"> Z</v>
      </c>
      <c r="DZ15" s="18" t="str">
        <f>SUBSTITUTE(DZ13,",",".")</f>
        <v>0.188</v>
      </c>
      <c r="EA15" s="18" t="str">
        <f>IF(DZ13=DZ14,". I"," I")</f>
        <v xml:space="preserve"> I</v>
      </c>
      <c r="EB15" s="18">
        <v>0</v>
      </c>
      <c r="EC15" s="18" t="s">
        <v>575</v>
      </c>
      <c r="ED15" s="18" t="str">
        <f>SUBSTITUTE(ED13,",",".")</f>
        <v>0.423</v>
      </c>
      <c r="EE15" s="18" t="str">
        <f>IF(ED13=ED14,".","")</f>
        <v/>
      </c>
      <c r="EF15" s="18"/>
      <c r="EG15" s="18"/>
      <c r="EH15" s="48">
        <v>4</v>
      </c>
      <c r="EI15" s="120" t="s">
        <v>744</v>
      </c>
      <c r="GM15" s="48">
        <v>4</v>
      </c>
      <c r="GN15" s="33" t="str">
        <f>IF(CS10=CS11,". C"," C")</f>
        <v xml:space="preserve"> C</v>
      </c>
      <c r="GO15" s="48">
        <v>4</v>
      </c>
      <c r="GP15" s="33" t="str">
        <f>IF(DH10=DH11,". C"," C")</f>
        <v xml:space="preserve"> C</v>
      </c>
      <c r="GQ15" s="48">
        <v>4</v>
      </c>
      <c r="GR15" s="33" t="str">
        <f>IF(DW10=DW11,". C"," C")</f>
        <v xml:space="preserve"> C</v>
      </c>
    </row>
    <row r="16" spans="1:206" ht="20" customHeight="1">
      <c r="A16" s="139"/>
      <c r="B16" s="147" t="str">
        <f>I63</f>
        <v>L = longitud de la rosca (mm)</v>
      </c>
      <c r="C16" s="151">
        <v>20</v>
      </c>
      <c r="D16" s="148">
        <v>3</v>
      </c>
      <c r="E16" s="140"/>
      <c r="F16" s="138" t="str">
        <f>IF(BC42=0,"",BC42)</f>
        <v/>
      </c>
      <c r="G16" s="135"/>
      <c r="I16" s="5"/>
      <c r="J16" s="34"/>
      <c r="K16" s="63"/>
      <c r="AA16" s="74"/>
      <c r="AD16" s="93"/>
      <c r="AF16" t="str">
        <f>TOOLS!W16</f>
        <v/>
      </c>
      <c r="AG16" s="25">
        <v>14</v>
      </c>
      <c r="AH16" s="6">
        <v>103</v>
      </c>
      <c r="AI16" s="8">
        <v>0.9</v>
      </c>
      <c r="AK16" s="10"/>
      <c r="AL16" s="11"/>
      <c r="AN16" s="14">
        <v>2.2000000000000002</v>
      </c>
      <c r="AO16" s="11">
        <f t="shared" ref="AO16:AO44" si="14">AO15*1.1</f>
        <v>1.1000000000000001E-2</v>
      </c>
      <c r="AU16" s="25">
        <v>7</v>
      </c>
      <c r="AV16" s="35">
        <f>AV15+AV7</f>
        <v>126.751</v>
      </c>
      <c r="AY16" s="33">
        <v>10112</v>
      </c>
      <c r="AZ16" s="33">
        <f t="shared" si="11"/>
        <v>0</v>
      </c>
      <c r="BB16" s="39"/>
      <c r="BC16" s="44"/>
      <c r="BD16" s="44"/>
      <c r="BP16" s="43"/>
      <c r="CO16" s="48"/>
      <c r="CP16" s="18"/>
      <c r="CQ16" s="18"/>
      <c r="CR16" s="18"/>
      <c r="CS16" s="18"/>
      <c r="CT16" s="18"/>
      <c r="CU16" s="18"/>
      <c r="CV16" s="11">
        <f>AR6</f>
        <v>1.5</v>
      </c>
      <c r="CW16" s="18"/>
      <c r="CX16" s="18">
        <f>-(2*AV57)</f>
        <v>-1.25</v>
      </c>
      <c r="CY16" s="18"/>
      <c r="CZ16" s="18"/>
      <c r="DD16" s="48"/>
      <c r="DE16" s="18"/>
      <c r="DF16" s="18"/>
      <c r="DG16" s="18"/>
      <c r="DH16" s="18"/>
      <c r="DI16" s="18"/>
      <c r="DJ16" s="18"/>
      <c r="DK16" s="11">
        <f>AR6</f>
        <v>1.5</v>
      </c>
      <c r="DL16" s="18"/>
      <c r="DM16" s="18">
        <f>-(2*AW62)</f>
        <v>-0.98599999999999999</v>
      </c>
      <c r="DN16" s="18"/>
      <c r="DO16" s="18"/>
      <c r="DP16" s="25"/>
      <c r="DQ16" s="25"/>
      <c r="DR16" s="25"/>
      <c r="DS16" s="48"/>
      <c r="DT16" s="18"/>
      <c r="DU16" s="18"/>
      <c r="DV16" s="18"/>
      <c r="DW16" s="18"/>
      <c r="DX16" s="18"/>
      <c r="DY16" s="18"/>
      <c r="DZ16" s="11">
        <f>AR6</f>
        <v>1.5</v>
      </c>
      <c r="EA16" s="18"/>
      <c r="EB16" s="18">
        <f>-(2*AW68)</f>
        <v>-0.84599999999999997</v>
      </c>
      <c r="EC16" s="18"/>
      <c r="ED16" s="18"/>
      <c r="EE16" s="25"/>
      <c r="EF16" s="25"/>
      <c r="EG16" s="25"/>
      <c r="EH16" s="48"/>
      <c r="EZ16" s="33">
        <f>-(2*AV57)</f>
        <v>-1.25</v>
      </c>
      <c r="FB16" s="33">
        <f>ROUND(2*AV57+(TAN(1.783*PI()/180)*AR6/4),3)</f>
        <v>1.262</v>
      </c>
      <c r="FD16" s="33">
        <f>ROUND(AR6/4,3)</f>
        <v>0.375</v>
      </c>
      <c r="FF16" s="33">
        <f>-(2*AV57)</f>
        <v>-1.25</v>
      </c>
      <c r="FH16" s="33">
        <f>ROUND(TAN(1.783*PI()/180)*AR6/4,3)</f>
        <v>1.2E-2</v>
      </c>
      <c r="FN16" s="33">
        <f>-(2*AW62)</f>
        <v>-0.98599999999999999</v>
      </c>
      <c r="FP16" s="33">
        <f>ROUND(2*AW62+(TAN(1.783*PI()/180)*AR6/4),3)</f>
        <v>0.998</v>
      </c>
      <c r="FR16" s="33">
        <f>ROUND(AR6/4,3)</f>
        <v>0.375</v>
      </c>
      <c r="FT16" s="33">
        <f>-(2*AW62)</f>
        <v>-0.98599999999999999</v>
      </c>
      <c r="FV16" s="33">
        <f>ROUND(TAN(1.783*PI()/180)*AR6/4,3)</f>
        <v>1.2E-2</v>
      </c>
      <c r="GB16" s="33">
        <f>-(2*AW68)</f>
        <v>-0.84599999999999997</v>
      </c>
      <c r="GD16" s="33">
        <f>ROUND(2*AW68+(TAN(1.783*PI()/180)*AR6/4),3)</f>
        <v>0.85799999999999998</v>
      </c>
      <c r="GF16" s="33">
        <f>ROUND(AR6/4,3)</f>
        <v>0.375</v>
      </c>
      <c r="GH16" s="33">
        <f>-(2*AW68)</f>
        <v>-0.84599999999999997</v>
      </c>
      <c r="GJ16" s="33">
        <f>ROUND(TAN(1.783*PI()/180)*AR6/4,3)</f>
        <v>1.2E-2</v>
      </c>
    </row>
    <row r="17" spans="1:206" ht="20" customHeight="1">
      <c r="A17" s="139"/>
      <c r="B17" s="147" t="str">
        <f>I64</f>
        <v>S = distancia de seguridad (mm)</v>
      </c>
      <c r="C17" s="152">
        <v>2</v>
      </c>
      <c r="D17" s="148">
        <v>4</v>
      </c>
      <c r="E17" s="140"/>
      <c r="F17" s="138" t="str">
        <f>IF(BC45=0,"",BC45)</f>
        <v/>
      </c>
      <c r="G17" s="135"/>
      <c r="H17" s="25">
        <v>1</v>
      </c>
      <c r="I17" s="5" t="str">
        <f t="shared" ref="I17:I77" si="15">LOOKUP(H$27,J$2:AE$2,J17:AE17)</f>
        <v>M - Metrico</v>
      </c>
      <c r="J17" s="34" t="s">
        <v>1875</v>
      </c>
      <c r="K17" s="63" t="s">
        <v>1020</v>
      </c>
      <c r="L17" s="34" t="s">
        <v>609</v>
      </c>
      <c r="M17" s="34" t="s">
        <v>1199</v>
      </c>
      <c r="N17" s="34" t="s">
        <v>1055</v>
      </c>
      <c r="O17" s="34" t="s">
        <v>989</v>
      </c>
      <c r="P17" t="s">
        <v>1710</v>
      </c>
      <c r="Q17" s="34" t="s">
        <v>400</v>
      </c>
      <c r="R17" s="34" t="s">
        <v>143</v>
      </c>
      <c r="S17" s="34" t="s">
        <v>1772</v>
      </c>
      <c r="T17" s="34" t="s">
        <v>609</v>
      </c>
      <c r="U17" s="34" t="s">
        <v>692</v>
      </c>
      <c r="V17" s="34" t="s">
        <v>1671</v>
      </c>
      <c r="W17" s="34" t="s">
        <v>1504</v>
      </c>
      <c r="X17" s="34" t="s">
        <v>1055</v>
      </c>
      <c r="Y17" s="34" t="s">
        <v>1664</v>
      </c>
      <c r="Z17" s="34" t="s">
        <v>692</v>
      </c>
      <c r="AA17" s="74" t="s">
        <v>1485</v>
      </c>
      <c r="AB17" s="88" t="s">
        <v>1616</v>
      </c>
      <c r="AC17" s="79" t="s">
        <v>396</v>
      </c>
      <c r="AD17" s="93" t="s">
        <v>191</v>
      </c>
      <c r="AE17" s="34" t="s">
        <v>277</v>
      </c>
      <c r="AF17" t="str">
        <f>TOOLS!W17</f>
        <v/>
      </c>
      <c r="AG17" s="25">
        <v>15</v>
      </c>
      <c r="AH17" s="6">
        <v>90</v>
      </c>
      <c r="AI17" s="8">
        <v>0.8</v>
      </c>
      <c r="AK17" s="10"/>
      <c r="AL17" s="11"/>
      <c r="AN17" s="14">
        <f t="shared" ref="AN17:AN44" si="16">AN16*1.11</f>
        <v>2.4420000000000006</v>
      </c>
      <c r="AO17" s="11">
        <f t="shared" si="14"/>
        <v>1.2100000000000001E-2</v>
      </c>
      <c r="AR17" s="10"/>
      <c r="AU17" s="25">
        <v>8</v>
      </c>
      <c r="AV17" s="35">
        <f>AV16+AV7</f>
        <v>147.751</v>
      </c>
      <c r="AY17" s="33">
        <v>10121</v>
      </c>
      <c r="AZ17" s="33">
        <f t="shared" si="11"/>
        <v>0</v>
      </c>
      <c r="BB17" s="39"/>
      <c r="BC17" s="44"/>
      <c r="BD17" s="44"/>
      <c r="BP17" s="43"/>
      <c r="CV17" s="25">
        <f>INT(CV16)</f>
        <v>1</v>
      </c>
      <c r="CX17" s="25">
        <f>INT(CX16)</f>
        <v>-2</v>
      </c>
      <c r="DD17" s="45"/>
      <c r="DE17"/>
      <c r="DF17"/>
      <c r="DG17"/>
      <c r="DH17"/>
      <c r="DI17"/>
      <c r="DJ17"/>
      <c r="DK17" s="25">
        <f>INT(DK16)</f>
        <v>1</v>
      </c>
      <c r="DL17"/>
      <c r="DM17" s="25">
        <f>INT(DM16)</f>
        <v>-1</v>
      </c>
      <c r="DN17"/>
      <c r="DO17"/>
      <c r="DP17" s="25"/>
      <c r="DQ17" s="25"/>
      <c r="DR17" s="25"/>
      <c r="DZ17" s="25">
        <f>INT(DZ16)</f>
        <v>1</v>
      </c>
      <c r="EB17" s="25">
        <f>INT(EB16)</f>
        <v>-1</v>
      </c>
      <c r="EE17" s="25"/>
      <c r="EF17" s="25"/>
      <c r="EG17" s="25"/>
      <c r="EZ17" s="25">
        <f>INT(EZ16)</f>
        <v>-2</v>
      </c>
      <c r="FB17" s="25">
        <f>INT(FB16)</f>
        <v>1</v>
      </c>
      <c r="FD17" s="25">
        <f>INT(FD16)</f>
        <v>0</v>
      </c>
      <c r="FF17" s="25">
        <f>INT(FF16)</f>
        <v>-2</v>
      </c>
      <c r="FH17" s="25">
        <f>INT(FH16)</f>
        <v>0</v>
      </c>
      <c r="FN17" s="25">
        <f>INT(FN16)</f>
        <v>-1</v>
      </c>
      <c r="FP17" s="25">
        <f>INT(FP16)</f>
        <v>0</v>
      </c>
      <c r="FR17" s="25">
        <f>INT(FR16)</f>
        <v>0</v>
      </c>
      <c r="FT17" s="25">
        <f>INT(FT16)</f>
        <v>-1</v>
      </c>
      <c r="FV17" s="25">
        <f>INT(FV16)</f>
        <v>0</v>
      </c>
      <c r="GB17" s="25">
        <f>INT(GB16)</f>
        <v>-1</v>
      </c>
      <c r="GD17" s="25">
        <f>INT(GD16)</f>
        <v>0</v>
      </c>
      <c r="GF17" s="25">
        <f>INT(GF16)</f>
        <v>0</v>
      </c>
      <c r="GH17" s="25">
        <f>INT(GH16)</f>
        <v>-1</v>
      </c>
      <c r="GJ17" s="25">
        <f>INT(GJ16)</f>
        <v>0</v>
      </c>
    </row>
    <row r="18" spans="1:206" ht="20" customHeight="1">
      <c r="A18" s="139"/>
      <c r="B18" s="135"/>
      <c r="C18" s="146"/>
      <c r="D18" s="146"/>
      <c r="E18" s="140"/>
      <c r="F18" s="138" t="str">
        <f>IF(BC48=0,"",BC48)</f>
        <v/>
      </c>
      <c r="G18" s="135"/>
      <c r="H18" s="25">
        <v>2</v>
      </c>
      <c r="I18" s="5" t="str">
        <f t="shared" si="15"/>
        <v>UN - Unified</v>
      </c>
      <c r="J18" s="34" t="s">
        <v>1876</v>
      </c>
      <c r="K18" s="63" t="s">
        <v>654</v>
      </c>
      <c r="L18" s="34" t="s">
        <v>654</v>
      </c>
      <c r="M18" s="34" t="s">
        <v>1272</v>
      </c>
      <c r="N18" s="34" t="s">
        <v>654</v>
      </c>
      <c r="O18" s="34" t="s">
        <v>654</v>
      </c>
      <c r="P18" s="34" t="s">
        <v>654</v>
      </c>
      <c r="Q18" s="34" t="s">
        <v>401</v>
      </c>
      <c r="R18" s="34" t="s">
        <v>144</v>
      </c>
      <c r="S18" s="34" t="s">
        <v>1773</v>
      </c>
      <c r="T18" s="34" t="s">
        <v>654</v>
      </c>
      <c r="U18" s="34" t="s">
        <v>654</v>
      </c>
      <c r="V18" s="34" t="s">
        <v>1672</v>
      </c>
      <c r="W18" s="34" t="s">
        <v>654</v>
      </c>
      <c r="X18" s="34" t="s">
        <v>605</v>
      </c>
      <c r="Y18" s="34" t="s">
        <v>1665</v>
      </c>
      <c r="Z18" s="34" t="s">
        <v>654</v>
      </c>
      <c r="AA18" s="74" t="s">
        <v>1558</v>
      </c>
      <c r="AB18" s="88" t="s">
        <v>1617</v>
      </c>
      <c r="AC18" s="79" t="s">
        <v>397</v>
      </c>
      <c r="AD18" s="93" t="s">
        <v>192</v>
      </c>
      <c r="AE18" s="34" t="s">
        <v>278</v>
      </c>
      <c r="AF18" t="str">
        <f>TOOLS!W18</f>
        <v/>
      </c>
      <c r="AG18" s="25">
        <v>16</v>
      </c>
      <c r="AH18" s="6">
        <v>63</v>
      </c>
      <c r="AI18" s="8">
        <v>0.8</v>
      </c>
      <c r="AK18" s="10"/>
      <c r="AL18" s="11"/>
      <c r="AN18" s="14">
        <f t="shared" si="16"/>
        <v>2.7106200000000009</v>
      </c>
      <c r="AO18" s="11">
        <f t="shared" si="14"/>
        <v>1.3310000000000002E-2</v>
      </c>
      <c r="AR18" s="10"/>
      <c r="AU18" s="25">
        <v>9</v>
      </c>
      <c r="AV18" s="35">
        <f>AV17+AV7</f>
        <v>168.751</v>
      </c>
      <c r="AY18" s="33">
        <v>10122</v>
      </c>
      <c r="AZ18" s="33">
        <f t="shared" si="11"/>
        <v>0</v>
      </c>
      <c r="BB18" s="39">
        <v>5</v>
      </c>
      <c r="BC18" s="44" t="str">
        <f>LOOKUP(AZ$54,BD$5:CN$5,BD18:CN18)</f>
        <v>G03 X0. Y0. Z1.5 I-1.25 J0. F106</v>
      </c>
      <c r="BD18" s="44"/>
      <c r="BE18" s="43" t="str">
        <f>CONCATENATE(CP18,CQ18,CR18,CS18,CT18,CU18,CV18,CW18,CX18,CY18,CZ18,DA18,DB18,DC18)</f>
        <v>G03 X0. Y0. Z1.5 I-1.25 J0. F106</v>
      </c>
      <c r="BF18" s="43" t="str">
        <f>CONCATENATE(BB18,CP85,CQ85)</f>
        <v>5 CC IX+0 IY+0.625</v>
      </c>
      <c r="BG18" s="43" t="str">
        <f>CONCATENATE(DE18,DF18,DG18,DH18,DI18,DJ18,DK18,DL18,DM18,DN18,DO18,DP18,DQ18,DR18)</f>
        <v>G03 X0. Y0. Z1.5 I-0.986 J0. F88</v>
      </c>
      <c r="BH18" s="43" t="str">
        <f>CONCATENATE(BB18,DE85,DF85)</f>
        <v>5 CC IX+0 IY+0.493</v>
      </c>
      <c r="BI18" s="43" t="str">
        <f>CONCATENATE(DT18,DU18,DV18,DW18,DX18,DY18,DZ18,EA18,EB18,EC18,ED18,EE18,EF18,EG18)</f>
        <v>G03 X0. Y0. Z1.5 I-0.846 J0. F78</v>
      </c>
      <c r="BJ18" s="43" t="str">
        <f>CONCATENATE(BB18,DT85,DU85)</f>
        <v>5 CC IX+0 IY+0.423</v>
      </c>
      <c r="BK18" s="43" t="str">
        <f>EI18</f>
        <v>WHILE[#2LT#1]DO1</v>
      </c>
      <c r="BL18" s="43" t="str">
        <f>CONCATENATE(BB18,EI85)</f>
        <v>5 FN 0: Q2 =+0</v>
      </c>
      <c r="BM18" s="43" t="str">
        <f>BK18</f>
        <v>WHILE[#2LT#1]DO1</v>
      </c>
      <c r="BN18" s="43" t="str">
        <f>BL18</f>
        <v>5 FN 0: Q2 =+0</v>
      </c>
      <c r="BO18" s="4" t="str">
        <f>BK18</f>
        <v>WHILE[#2LT#1]DO1</v>
      </c>
      <c r="BP18" s="4" t="str">
        <f>BL18</f>
        <v>5 FN 0: Q2 =+0</v>
      </c>
      <c r="BQ18" s="4" t="str">
        <f>CONCATENATE(EN18,EO18)</f>
        <v>#1=14</v>
      </c>
      <c r="BR18" s="43" t="str">
        <f>BF18</f>
        <v>5 CC IX+0 IY+0.625</v>
      </c>
      <c r="BS18" s="43" t="str">
        <f>BQ18</f>
        <v>#1=14</v>
      </c>
      <c r="BT18" s="43" t="str">
        <f>BH18</f>
        <v>5 CC IX+0 IY+0.493</v>
      </c>
      <c r="BU18" s="43" t="str">
        <f>BS18</f>
        <v>#1=14</v>
      </c>
      <c r="BV18" s="125" t="str">
        <f>BJ18</f>
        <v>5 CC IX+0 IY+0.423</v>
      </c>
      <c r="BW18" s="43" t="str">
        <f>CONCATENATE(EX18,EY18,EZ18,FA18,FB18,FC18,FD18,FE18,FF18,FG18,FH18,FI18,FJ18,C31)</f>
        <v>G03 X-1.25 Y1.262 Z0.375 I-1.25 J0.012 F106</v>
      </c>
      <c r="BX18" s="125" t="str">
        <f>BF18</f>
        <v>5 CC IX+0 IY+0.625</v>
      </c>
      <c r="BY18" s="43" t="str">
        <f>CONCATENATE(FL18,FM18,FN18,FO18,FP18,FQ18,FR18,FS18,FT18,FU18,FV18,FW18,FX18,AX62)</f>
        <v>G03 X-0.986 Y0.998 Z0.375 I-0.986 J0.012 F88</v>
      </c>
      <c r="BZ18" s="125" t="str">
        <f>BH18</f>
        <v>5 CC IX+0 IY+0.493</v>
      </c>
      <c r="CA18" s="43" t="str">
        <f>CONCATENATE(FZ18,GA18,GB18,GC18,GD18,GE18,GF18,GG18,GH18,GI18,GJ18,GK18,GL18,AX68)</f>
        <v>G03 X-0.846 Y0.858 Z0.375 I-0.846 J0.012 F78</v>
      </c>
      <c r="CB18" s="125" t="str">
        <f>BJ18</f>
        <v>5 CC IX+0 IY+0.423</v>
      </c>
      <c r="CC18" s="43" t="str">
        <f>CONCATENATE(CP15,CQ15,CR15,GN15,CT15,CU15,CV15,CW15,CX15,CY15,CZ15,DA15)</f>
        <v>G03 X0.625 C0.625 Z0.188 I0. J0.625</v>
      </c>
      <c r="CD18" s="43" t="str">
        <f>CONCATENATE(DE15,DF15,DG15,GP15,DI15,DJ15,DK15,DL15,DM15,DN15,DO15,DP15)</f>
        <v>G03 X0.493 C0.493 Z0.188 I0. J0.493</v>
      </c>
      <c r="CE18" s="43" t="str">
        <f>CONCATENATE(DT15,DU15,DV15,GR15,DX15,DY15,DZ15,EA15,EB15,EC15,ED15,EE15)</f>
        <v>G03 X0.423 C0.423 Z0.188 I0. J0.423</v>
      </c>
      <c r="CF18" s="43" t="str">
        <f>BK15</f>
        <v>#2=0</v>
      </c>
      <c r="CG18" s="43" t="str">
        <f>CF18</f>
        <v>#2=0</v>
      </c>
      <c r="CH18" s="43" t="str">
        <f>CF18</f>
        <v>#2=0</v>
      </c>
      <c r="CI18" s="43" t="str">
        <f>CC18</f>
        <v>G03 X0.625 C0.625 Z0.188 I0. J0.625</v>
      </c>
      <c r="CJ18" s="43" t="str">
        <f>CD18</f>
        <v>G03 X0.493 C0.493 Z0.188 I0. J0.493</v>
      </c>
      <c r="CK18" s="43" t="str">
        <f>CE18</f>
        <v>G03 X0.423 C0.423 Z0.188 I0. J0.423</v>
      </c>
      <c r="CL18" s="43" t="str">
        <f>CC18</f>
        <v>G03 X0.625 C0.625 Z0.188 I0. J0.625</v>
      </c>
      <c r="CM18" s="43" t="str">
        <f>CD18</f>
        <v>G03 X0.493 C0.493 Z0.188 I0. J0.493</v>
      </c>
      <c r="CN18" s="43" t="str">
        <f>CE18</f>
        <v>G03 X0.423 C0.423 Z0.188 I0. J0.423</v>
      </c>
      <c r="CO18" s="48">
        <v>5</v>
      </c>
      <c r="CP18" s="18" t="s">
        <v>571</v>
      </c>
      <c r="CQ18" s="18" t="s">
        <v>570</v>
      </c>
      <c r="CR18" s="18">
        <v>0</v>
      </c>
      <c r="CS18" s="18" t="s">
        <v>576</v>
      </c>
      <c r="CT18" s="18">
        <v>0</v>
      </c>
      <c r="CU18" s="18" t="s">
        <v>577</v>
      </c>
      <c r="CV18" s="18" t="str">
        <f>SUBSTITUTE(CV16,",",".")</f>
        <v>1.5</v>
      </c>
      <c r="CW18" s="18" t="str">
        <f>IF(CV16=CV17,". I"," I")</f>
        <v xml:space="preserve"> I</v>
      </c>
      <c r="CX18" s="18" t="str">
        <f>SUBSTITUTE(CX16,",",".")</f>
        <v>-1.25</v>
      </c>
      <c r="CY18" s="18" t="str">
        <f>IF(CX16=CX17,". J"," J")</f>
        <v xml:space="preserve"> J</v>
      </c>
      <c r="CZ18" s="18">
        <v>0</v>
      </c>
      <c r="DA18" s="25" t="s">
        <v>1053</v>
      </c>
      <c r="DB18" s="25" t="s">
        <v>2341</v>
      </c>
      <c r="DC18" s="25">
        <f>C31</f>
        <v>106</v>
      </c>
      <c r="DD18" s="48">
        <v>5</v>
      </c>
      <c r="DE18" s="18" t="s">
        <v>571</v>
      </c>
      <c r="DF18" s="18" t="s">
        <v>570</v>
      </c>
      <c r="DG18" s="18">
        <v>0</v>
      </c>
      <c r="DH18" s="18" t="s">
        <v>576</v>
      </c>
      <c r="DI18" s="18">
        <v>0</v>
      </c>
      <c r="DJ18" s="18" t="s">
        <v>577</v>
      </c>
      <c r="DK18" s="18" t="str">
        <f>SUBSTITUTE(DK16,",",".")</f>
        <v>1.5</v>
      </c>
      <c r="DL18" s="18" t="str">
        <f>IF(DK16=DK17,". I"," I")</f>
        <v xml:space="preserve"> I</v>
      </c>
      <c r="DM18" s="18" t="str">
        <f>SUBSTITUTE(DM16,",",".")</f>
        <v>-0.986</v>
      </c>
      <c r="DN18" s="18" t="str">
        <f>IF(DM16=DM17,". J"," J")</f>
        <v xml:space="preserve"> J</v>
      </c>
      <c r="DO18" s="18">
        <v>0</v>
      </c>
      <c r="DP18" s="25" t="s">
        <v>1053</v>
      </c>
      <c r="DQ18" s="25" t="s">
        <v>2341</v>
      </c>
      <c r="DR18" s="25">
        <f>AX62</f>
        <v>88</v>
      </c>
      <c r="DS18" s="48">
        <v>5</v>
      </c>
      <c r="DT18" s="18" t="s">
        <v>571</v>
      </c>
      <c r="DU18" s="18" t="s">
        <v>570</v>
      </c>
      <c r="DV18" s="18">
        <v>0</v>
      </c>
      <c r="DW18" s="18" t="s">
        <v>576</v>
      </c>
      <c r="DX18" s="18">
        <v>0</v>
      </c>
      <c r="DY18" s="18" t="s">
        <v>577</v>
      </c>
      <c r="DZ18" s="18" t="str">
        <f>SUBSTITUTE(DZ16,",",".")</f>
        <v>1.5</v>
      </c>
      <c r="EA18" s="18" t="str">
        <f>IF(DZ16=DZ17,". I"," I")</f>
        <v xml:space="preserve"> I</v>
      </c>
      <c r="EB18" s="18" t="str">
        <f>SUBSTITUTE(EB16,",",".")</f>
        <v>-0.846</v>
      </c>
      <c r="EC18" s="18" t="str">
        <f>IF(EB16=EB17,". J"," J")</f>
        <v xml:space="preserve"> J</v>
      </c>
      <c r="ED18" s="18">
        <v>0</v>
      </c>
      <c r="EE18" s="25" t="s">
        <v>1053</v>
      </c>
      <c r="EF18" s="25" t="s">
        <v>2341</v>
      </c>
      <c r="EG18" s="25">
        <f>AX68</f>
        <v>78</v>
      </c>
      <c r="EH18" s="48">
        <v>5</v>
      </c>
      <c r="EI18" s="124" t="s">
        <v>862</v>
      </c>
      <c r="EM18" s="48">
        <v>5</v>
      </c>
      <c r="EN18" s="18" t="s">
        <v>743</v>
      </c>
      <c r="EO18" s="33">
        <f>AV48</f>
        <v>14</v>
      </c>
      <c r="EW18" s="48">
        <v>5</v>
      </c>
      <c r="EX18" s="33" t="s">
        <v>571</v>
      </c>
      <c r="EY18" s="33" t="s">
        <v>570</v>
      </c>
      <c r="EZ18" s="18" t="str">
        <f>SUBSTITUTE(EZ16,",",".")</f>
        <v>-1.25</v>
      </c>
      <c r="FA18" s="18" t="str">
        <f>IF(EZ16=EZ17,". Y"," Y")</f>
        <v xml:space="preserve"> Y</v>
      </c>
      <c r="FB18" s="18" t="str">
        <f>SUBSTITUTE(FB16,",",".")</f>
        <v>1.262</v>
      </c>
      <c r="FC18" s="18" t="str">
        <f>IF(FB16=FB17,". Z"," Z")</f>
        <v xml:space="preserve"> Z</v>
      </c>
      <c r="FD18" s="18" t="str">
        <f>SUBSTITUTE(FD16,",",".")</f>
        <v>0.375</v>
      </c>
      <c r="FE18" s="18" t="str">
        <f>IF(FD16=FD17,". I"," I")</f>
        <v xml:space="preserve"> I</v>
      </c>
      <c r="FF18" s="18" t="str">
        <f>SUBSTITUTE(FF16,",",".")</f>
        <v>-1.25</v>
      </c>
      <c r="FG18" s="18" t="str">
        <f>IF(FF16=FF17,". J"," J")</f>
        <v xml:space="preserve"> J</v>
      </c>
      <c r="FH18" s="18" t="str">
        <f>SUBSTITUTE(FH16,",",".")</f>
        <v>0.012</v>
      </c>
      <c r="FI18" s="18" t="str">
        <f>IF(FH16=FH17,".","")</f>
        <v/>
      </c>
      <c r="FJ18" s="18" t="s">
        <v>2341</v>
      </c>
      <c r="FK18" s="48">
        <v>5</v>
      </c>
      <c r="FL18" s="33" t="s">
        <v>571</v>
      </c>
      <c r="FM18" s="33" t="s">
        <v>570</v>
      </c>
      <c r="FN18" s="18" t="str">
        <f>SUBSTITUTE(FN16,",",".")</f>
        <v>-0.986</v>
      </c>
      <c r="FO18" s="18" t="str">
        <f>IF(FN16=FN17,". Y"," Y")</f>
        <v xml:space="preserve"> Y</v>
      </c>
      <c r="FP18" s="18" t="str">
        <f>SUBSTITUTE(FP16,",",".")</f>
        <v>0.998</v>
      </c>
      <c r="FQ18" s="18" t="str">
        <f>IF(FP16=FP17,". Z"," Z")</f>
        <v xml:space="preserve"> Z</v>
      </c>
      <c r="FR18" s="18" t="str">
        <f>SUBSTITUTE(FR16,",",".")</f>
        <v>0.375</v>
      </c>
      <c r="FS18" s="18" t="str">
        <f>IF(FR16=FR17,". I"," I")</f>
        <v xml:space="preserve"> I</v>
      </c>
      <c r="FT18" s="18" t="str">
        <f>SUBSTITUTE(FT16,",",".")</f>
        <v>-0.986</v>
      </c>
      <c r="FU18" s="18" t="str">
        <f>IF(FT16=FT17,". J"," J")</f>
        <v xml:space="preserve"> J</v>
      </c>
      <c r="FV18" s="18" t="str">
        <f>SUBSTITUTE(FV16,",",".")</f>
        <v>0.012</v>
      </c>
      <c r="FW18" s="18" t="str">
        <f>IF(FV16=FV17,".","")</f>
        <v/>
      </c>
      <c r="FX18" s="18" t="s">
        <v>2341</v>
      </c>
      <c r="FY18" s="48">
        <v>5</v>
      </c>
      <c r="FZ18" s="33" t="s">
        <v>571</v>
      </c>
      <c r="GA18" s="33" t="s">
        <v>570</v>
      </c>
      <c r="GB18" s="18" t="str">
        <f>SUBSTITUTE(GB16,",",".")</f>
        <v>-0.846</v>
      </c>
      <c r="GC18" s="18" t="str">
        <f>IF(GB16=GB17,". Y"," Y")</f>
        <v xml:space="preserve"> Y</v>
      </c>
      <c r="GD18" s="18" t="str">
        <f>SUBSTITUTE(GD16,",",".")</f>
        <v>0.858</v>
      </c>
      <c r="GE18" s="18" t="str">
        <f>IF(GD16=GD17,". Z"," Z")</f>
        <v xml:space="preserve"> Z</v>
      </c>
      <c r="GF18" s="18" t="str">
        <f>SUBSTITUTE(GF16,",",".")</f>
        <v>0.375</v>
      </c>
      <c r="GG18" s="18" t="str">
        <f>IF(GF16=GF17,". I"," I")</f>
        <v xml:space="preserve"> I</v>
      </c>
      <c r="GH18" s="18" t="str">
        <f>SUBSTITUTE(GH16,",",".")</f>
        <v>-0.846</v>
      </c>
      <c r="GI18" s="18" t="str">
        <f>IF(GH16=GH17,". J"," J")</f>
        <v xml:space="preserve"> J</v>
      </c>
      <c r="GJ18" s="18" t="str">
        <f>SUBSTITUTE(GJ16,",",".")</f>
        <v>0.012</v>
      </c>
      <c r="GK18" s="18" t="str">
        <f>IF(GJ16=GJ17,".","")</f>
        <v/>
      </c>
      <c r="GL18" s="18" t="s">
        <v>2341</v>
      </c>
      <c r="GW18" s="48"/>
    </row>
    <row r="19" spans="1:206" ht="20" customHeight="1">
      <c r="A19" s="139"/>
      <c r="B19" s="135"/>
      <c r="C19" s="146"/>
      <c r="D19" s="146"/>
      <c r="E19" s="140"/>
      <c r="F19" s="138" t="str">
        <f>IF(BC51=0,"",BC51)</f>
        <v/>
      </c>
      <c r="G19" s="135"/>
      <c r="H19" s="25">
        <v>3</v>
      </c>
      <c r="I19" s="5" t="str">
        <f t="shared" si="15"/>
        <v>G - Whitworth, rosca de tubo</v>
      </c>
      <c r="J19" s="34" t="s">
        <v>1877</v>
      </c>
      <c r="K19" s="63" t="s">
        <v>1474</v>
      </c>
      <c r="L19" s="34" t="s">
        <v>1475</v>
      </c>
      <c r="M19" s="34" t="s">
        <v>1476</v>
      </c>
      <c r="N19" s="34" t="s">
        <v>1477</v>
      </c>
      <c r="O19" s="34" t="s">
        <v>1478</v>
      </c>
      <c r="P19" t="s">
        <v>1711</v>
      </c>
      <c r="Q19" s="34" t="s">
        <v>402</v>
      </c>
      <c r="R19" s="34" t="s">
        <v>149</v>
      </c>
      <c r="S19" s="34" t="s">
        <v>1774</v>
      </c>
      <c r="T19" s="34" t="s">
        <v>1479</v>
      </c>
      <c r="U19" s="34" t="s">
        <v>1486</v>
      </c>
      <c r="V19" s="34" t="s">
        <v>1673</v>
      </c>
      <c r="W19" s="34" t="s">
        <v>1480</v>
      </c>
      <c r="X19" s="34" t="s">
        <v>1481</v>
      </c>
      <c r="Y19" s="34" t="s">
        <v>1663</v>
      </c>
      <c r="Z19" s="34" t="s">
        <v>1381</v>
      </c>
      <c r="AA19" s="74" t="s">
        <v>1559</v>
      </c>
      <c r="AB19" s="88" t="s">
        <v>1618</v>
      </c>
      <c r="AC19" s="79" t="s">
        <v>406</v>
      </c>
      <c r="AD19" s="93" t="s">
        <v>193</v>
      </c>
      <c r="AE19" s="34" t="s">
        <v>279</v>
      </c>
      <c r="AF19" t="str">
        <f>TOOLS!W19</f>
        <v/>
      </c>
      <c r="AG19" s="25">
        <v>17</v>
      </c>
      <c r="AH19" s="6">
        <v>55</v>
      </c>
      <c r="AI19" s="8">
        <v>0.7</v>
      </c>
      <c r="AK19" s="10"/>
      <c r="AL19" s="11"/>
      <c r="AN19" s="14">
        <f t="shared" si="16"/>
        <v>3.0087882000000015</v>
      </c>
      <c r="AO19" s="11">
        <f t="shared" si="14"/>
        <v>1.4641000000000003E-2</v>
      </c>
      <c r="AR19" s="10"/>
      <c r="AU19" s="25">
        <v>10</v>
      </c>
      <c r="AV19" s="35">
        <f>AV18+AV7</f>
        <v>189.751</v>
      </c>
      <c r="AY19" s="33">
        <v>10131</v>
      </c>
      <c r="AZ19" s="33">
        <f t="shared" si="11"/>
        <v>0</v>
      </c>
      <c r="BB19" s="39"/>
      <c r="BC19" s="44"/>
      <c r="BD19" s="44"/>
      <c r="BP19" s="43"/>
      <c r="CO19" s="48"/>
      <c r="CP19" s="18"/>
      <c r="CQ19" s="18"/>
      <c r="CR19" s="18">
        <f>-AV57</f>
        <v>-0.625</v>
      </c>
      <c r="CS19" s="18"/>
      <c r="CT19" s="18">
        <f>AV57</f>
        <v>0.625</v>
      </c>
      <c r="CU19" s="18"/>
      <c r="CV19" s="18">
        <f>ROUND(AR6/8,3)</f>
        <v>0.188</v>
      </c>
      <c r="CW19" s="18"/>
      <c r="CX19" s="18">
        <f>-AV57</f>
        <v>-0.625</v>
      </c>
      <c r="CY19" s="18"/>
      <c r="CZ19" s="18"/>
      <c r="DD19" s="48"/>
      <c r="DE19" s="18"/>
      <c r="DF19" s="18"/>
      <c r="DG19" s="18">
        <f>-AW62</f>
        <v>-0.49299999999999999</v>
      </c>
      <c r="DH19" s="18"/>
      <c r="DI19" s="18">
        <f>AW62</f>
        <v>0.49299999999999999</v>
      </c>
      <c r="DJ19" s="18"/>
      <c r="DK19" s="18">
        <f>ROUND(AR6/8,3)</f>
        <v>0.188</v>
      </c>
      <c r="DL19" s="18"/>
      <c r="DM19" s="18">
        <f>-AW62</f>
        <v>-0.49299999999999999</v>
      </c>
      <c r="DN19" s="18"/>
      <c r="DO19" s="18"/>
      <c r="DP19" s="25"/>
      <c r="DQ19" s="25"/>
      <c r="DR19" s="25"/>
      <c r="DS19" s="48"/>
      <c r="DT19" s="18"/>
      <c r="DU19" s="18"/>
      <c r="DV19" s="18">
        <f>-AW68</f>
        <v>-0.42299999999999999</v>
      </c>
      <c r="DW19" s="18"/>
      <c r="DX19" s="18">
        <f>AW68</f>
        <v>0.42299999999999999</v>
      </c>
      <c r="DY19" s="18"/>
      <c r="DZ19" s="18">
        <f>ROUND(AR6/8,3)</f>
        <v>0.188</v>
      </c>
      <c r="EA19" s="18"/>
      <c r="EB19" s="18">
        <f>-AW68</f>
        <v>-0.42299999999999999</v>
      </c>
      <c r="EC19" s="18"/>
      <c r="ED19" s="18"/>
      <c r="EE19" s="25"/>
      <c r="EF19" s="25"/>
      <c r="EG19" s="25"/>
      <c r="EH19" s="48"/>
      <c r="EZ19" s="33">
        <f>-(FB16+FH16)</f>
        <v>-1.274</v>
      </c>
      <c r="FB19" s="33">
        <f>-FB16</f>
        <v>-1.262</v>
      </c>
      <c r="FD19" s="33">
        <f>FD16</f>
        <v>0.375</v>
      </c>
      <c r="FF19" s="33">
        <f>-FH16</f>
        <v>-1.2E-2</v>
      </c>
      <c r="FH19" s="33">
        <f>FB19</f>
        <v>-1.262</v>
      </c>
      <c r="FN19" s="33">
        <f>-(FP16+FV16)</f>
        <v>-1.01</v>
      </c>
      <c r="FP19" s="33">
        <f>-FP16</f>
        <v>-0.998</v>
      </c>
      <c r="FR19" s="33">
        <f>FR16</f>
        <v>0.375</v>
      </c>
      <c r="FT19" s="33">
        <f>-FV16</f>
        <v>-1.2E-2</v>
      </c>
      <c r="FV19" s="33">
        <f>FP19</f>
        <v>-0.998</v>
      </c>
      <c r="GB19" s="33">
        <f>-(GD16+GJ16)</f>
        <v>-0.87</v>
      </c>
      <c r="GD19" s="33">
        <f>-GD16</f>
        <v>-0.85799999999999998</v>
      </c>
      <c r="GF19" s="33">
        <f>GF16</f>
        <v>0.375</v>
      </c>
      <c r="GH19" s="33">
        <f>-GJ16</f>
        <v>-1.2E-2</v>
      </c>
      <c r="GJ19" s="33">
        <f>GD19</f>
        <v>-0.85799999999999998</v>
      </c>
    </row>
    <row r="20" spans="1:206" ht="20" customHeight="1">
      <c r="A20" s="139"/>
      <c r="B20" s="135"/>
      <c r="C20" s="146"/>
      <c r="D20" s="146"/>
      <c r="E20" s="140"/>
      <c r="F20" s="138" t="str">
        <f>IF(BC54=0,"",BC54)</f>
        <v/>
      </c>
      <c r="G20" s="135"/>
      <c r="H20" s="25">
        <v>4</v>
      </c>
      <c r="I20" s="5" t="str">
        <f t="shared" si="15"/>
        <v>BSPT - rosca de tubo cónica</v>
      </c>
      <c r="J20" s="34" t="s">
        <v>1878</v>
      </c>
      <c r="K20" s="63" t="s">
        <v>1021</v>
      </c>
      <c r="L20" s="34" t="s">
        <v>750</v>
      </c>
      <c r="M20" s="34" t="s">
        <v>1273</v>
      </c>
      <c r="N20" s="34" t="s">
        <v>753</v>
      </c>
      <c r="O20" s="34" t="s">
        <v>751</v>
      </c>
      <c r="P20" t="s">
        <v>1712</v>
      </c>
      <c r="Q20" s="34" t="s">
        <v>403</v>
      </c>
      <c r="R20" s="34" t="s">
        <v>145</v>
      </c>
      <c r="S20" s="34" t="s">
        <v>1775</v>
      </c>
      <c r="T20" s="34" t="s">
        <v>1249</v>
      </c>
      <c r="U20" s="34" t="s">
        <v>1487</v>
      </c>
      <c r="V20" s="34" t="s">
        <v>1674</v>
      </c>
      <c r="W20" s="34" t="s">
        <v>1505</v>
      </c>
      <c r="X20" s="34" t="s">
        <v>530</v>
      </c>
      <c r="Y20" s="34" t="s">
        <v>1666</v>
      </c>
      <c r="Z20" s="34" t="s">
        <v>582</v>
      </c>
      <c r="AA20" s="74" t="s">
        <v>1560</v>
      </c>
      <c r="AB20" s="88" t="s">
        <v>1619</v>
      </c>
      <c r="AC20" s="79" t="s">
        <v>481</v>
      </c>
      <c r="AD20" s="93" t="s">
        <v>194</v>
      </c>
      <c r="AE20" s="34" t="s">
        <v>280</v>
      </c>
      <c r="AF20" t="str">
        <f>TOOLS!W20</f>
        <v/>
      </c>
      <c r="AG20" s="25">
        <v>18</v>
      </c>
      <c r="AH20" s="6">
        <v>35</v>
      </c>
      <c r="AI20" s="8">
        <v>0.6</v>
      </c>
      <c r="AK20" s="10"/>
      <c r="AL20" s="11"/>
      <c r="AN20" s="14">
        <f t="shared" si="16"/>
        <v>3.3397549020000019</v>
      </c>
      <c r="AO20" s="11">
        <f t="shared" si="14"/>
        <v>1.6105100000000004E-2</v>
      </c>
      <c r="AQ20" s="10"/>
      <c r="AR20" s="33"/>
      <c r="AV20" s="35"/>
      <c r="AY20" s="33">
        <v>10132</v>
      </c>
      <c r="AZ20" s="33">
        <f t="shared" si="11"/>
        <v>0</v>
      </c>
      <c r="BB20" s="39"/>
      <c r="BC20" s="44"/>
      <c r="BD20" s="44"/>
      <c r="BP20" s="43"/>
      <c r="CR20" s="25">
        <f>INT(CR19)</f>
        <v>-1</v>
      </c>
      <c r="CT20" s="25">
        <f>INT(CT19)</f>
        <v>0</v>
      </c>
      <c r="CV20" s="25">
        <f>INT(CV19)</f>
        <v>0</v>
      </c>
      <c r="CX20" s="25">
        <f>INT(CX19)</f>
        <v>-1</v>
      </c>
      <c r="DD20" s="45"/>
      <c r="DE20"/>
      <c r="DF20"/>
      <c r="DG20" s="25">
        <f>INT(DG19)</f>
        <v>-1</v>
      </c>
      <c r="DH20"/>
      <c r="DI20" s="25">
        <f>INT(DI19)</f>
        <v>0</v>
      </c>
      <c r="DJ20"/>
      <c r="DK20" s="25">
        <f>INT(DK19)</f>
        <v>0</v>
      </c>
      <c r="DL20"/>
      <c r="DM20" s="25">
        <f>INT(DM19)</f>
        <v>-1</v>
      </c>
      <c r="DN20"/>
      <c r="DO20"/>
      <c r="DP20" s="25"/>
      <c r="DQ20" s="25"/>
      <c r="DR20" s="25"/>
      <c r="DV20" s="25">
        <f>INT(DV19)</f>
        <v>-1</v>
      </c>
      <c r="DX20" s="25">
        <f>INT(DX19)</f>
        <v>0</v>
      </c>
      <c r="DZ20" s="25">
        <f>INT(DZ19)</f>
        <v>0</v>
      </c>
      <c r="EB20" s="25">
        <f>INT(EB19)</f>
        <v>-1</v>
      </c>
      <c r="EE20" s="25"/>
      <c r="EF20" s="25"/>
      <c r="EG20" s="25"/>
      <c r="EZ20" s="25">
        <f>INT(EZ19)</f>
        <v>-2</v>
      </c>
      <c r="FB20" s="25">
        <f>INT(FB19)</f>
        <v>-2</v>
      </c>
      <c r="FD20" s="25">
        <f>INT(FD19)</f>
        <v>0</v>
      </c>
      <c r="FF20" s="25">
        <f>INT(FF19)</f>
        <v>-1</v>
      </c>
      <c r="FH20" s="25">
        <f>INT(FH19)</f>
        <v>-2</v>
      </c>
      <c r="FN20" s="25">
        <f>INT(FN19)</f>
        <v>-2</v>
      </c>
      <c r="FP20" s="25">
        <f>INT(FP19)</f>
        <v>-1</v>
      </c>
      <c r="FR20" s="25">
        <f>INT(FR19)</f>
        <v>0</v>
      </c>
      <c r="FT20" s="25">
        <f>INT(FT19)</f>
        <v>-1</v>
      </c>
      <c r="FV20" s="25">
        <f>INT(FV19)</f>
        <v>-1</v>
      </c>
      <c r="GB20" s="25">
        <f>INT(GB19)</f>
        <v>-1</v>
      </c>
      <c r="GD20" s="25">
        <f>INT(GD19)</f>
        <v>-1</v>
      </c>
      <c r="GF20" s="25">
        <f>INT(GF19)</f>
        <v>0</v>
      </c>
      <c r="GH20" s="25">
        <f>INT(GH19)</f>
        <v>-1</v>
      </c>
      <c r="GJ20" s="25">
        <f>INT(GJ19)</f>
        <v>-1</v>
      </c>
    </row>
    <row r="21" spans="1:206" ht="20" customHeight="1">
      <c r="A21" s="139"/>
      <c r="B21" s="135"/>
      <c r="C21" s="146"/>
      <c r="D21" s="146"/>
      <c r="E21" s="140"/>
      <c r="F21" s="138" t="str">
        <f>IF(BC57=0,"",BC57)</f>
        <v/>
      </c>
      <c r="G21" s="135"/>
      <c r="H21" s="25">
        <v>5</v>
      </c>
      <c r="I21" s="5" t="str">
        <f t="shared" si="15"/>
        <v>NPT - rosca de tubo cónica</v>
      </c>
      <c r="J21" s="34" t="s">
        <v>1879</v>
      </c>
      <c r="K21" s="63" t="s">
        <v>1022</v>
      </c>
      <c r="L21" s="34" t="s">
        <v>849</v>
      </c>
      <c r="M21" s="34" t="s">
        <v>1101</v>
      </c>
      <c r="N21" s="34" t="s">
        <v>754</v>
      </c>
      <c r="O21" s="34" t="s">
        <v>752</v>
      </c>
      <c r="P21" t="s">
        <v>1713</v>
      </c>
      <c r="Q21" s="34" t="s">
        <v>404</v>
      </c>
      <c r="R21" s="34" t="s">
        <v>150</v>
      </c>
      <c r="S21" s="34" t="s">
        <v>1776</v>
      </c>
      <c r="T21" s="34" t="s">
        <v>1250</v>
      </c>
      <c r="U21" s="34" t="s">
        <v>1488</v>
      </c>
      <c r="V21" s="34" t="s">
        <v>1675</v>
      </c>
      <c r="W21" s="34" t="s">
        <v>1506</v>
      </c>
      <c r="X21" s="34" t="s">
        <v>531</v>
      </c>
      <c r="Y21" s="34" t="s">
        <v>1667</v>
      </c>
      <c r="Z21" s="34" t="s">
        <v>583</v>
      </c>
      <c r="AA21" s="74" t="s">
        <v>1561</v>
      </c>
      <c r="AB21" s="88" t="s">
        <v>1620</v>
      </c>
      <c r="AC21" s="79" t="s">
        <v>482</v>
      </c>
      <c r="AD21" s="93" t="s">
        <v>195</v>
      </c>
      <c r="AE21" s="34" t="s">
        <v>281</v>
      </c>
      <c r="AF21" t="str">
        <f>TOOLS!W21</f>
        <v/>
      </c>
      <c r="AG21" s="25">
        <v>19</v>
      </c>
      <c r="AH21" s="6">
        <v>90</v>
      </c>
      <c r="AI21" s="8">
        <v>0.8</v>
      </c>
      <c r="AK21" s="10"/>
      <c r="AL21" s="11"/>
      <c r="AN21" s="14">
        <f t="shared" si="16"/>
        <v>3.7071279412200027</v>
      </c>
      <c r="AO21" s="11">
        <f t="shared" si="14"/>
        <v>1.7715610000000007E-2</v>
      </c>
      <c r="AQ21" s="7" t="s">
        <v>797</v>
      </c>
      <c r="AR21" s="165">
        <f>287*C14/C30</f>
        <v>6.8009478672985786</v>
      </c>
      <c r="AY21" s="33">
        <v>1000012</v>
      </c>
      <c r="AZ21" s="33">
        <f t="shared" si="11"/>
        <v>0</v>
      </c>
      <c r="BB21" s="39">
        <v>6</v>
      </c>
      <c r="BC21" s="44" t="str">
        <f>LOOKUP(AZ$54,BD$5:CN$5,BD21:CN21)</f>
        <v>G03 X-0.625 Y0.625 Z0.188 I-0.625 J0. F530</v>
      </c>
      <c r="BD21" s="44"/>
      <c r="BE21" s="43" t="str">
        <f>CONCATENATE(CP21,CQ21,CR21,CS21,CT21,CU21,CV21,CW21,CX21,CY21,CZ21,DA21,DB21,DC21)</f>
        <v>G03 X-0.625 Y0.625 Z0.188 I-0.625 J0. F530</v>
      </c>
      <c r="BF21" s="43" t="str">
        <f>CONCATENATE(BB21,CP88,CQ88,CR88)</f>
        <v>6 CP IPA+90 IZ+0.188 DR+</v>
      </c>
      <c r="BG21" s="43" t="str">
        <f>CONCATENATE(DE21,DF21,DG21,DH21,DI21,DJ21,DK21,DL21,DM21,DN21,DO21,DP21,DQ21,DR21)</f>
        <v>G03 X-0.493 Y0.493 Z0.188 I-0.493 J0. F440</v>
      </c>
      <c r="BH21" s="43" t="str">
        <f>BF21</f>
        <v>6 CP IPA+90 IZ+0.188 DR+</v>
      </c>
      <c r="BI21" s="43" t="str">
        <f>CONCATENATE(DT21,DU21,DV21,DW21,DX21,DY21,DZ21,EA21,EB21,EC21,ED21,EE21,EF21,EG21)</f>
        <v>G03 X-0.423 Y0.423 Z0.188 I-0.423 J0. F390</v>
      </c>
      <c r="BJ21" s="43" t="str">
        <f>BH21</f>
        <v>6 CP IPA+90 IZ+0.188 DR+</v>
      </c>
      <c r="BK21" s="43" t="str">
        <f>BE12</f>
        <v>G01 G41 X0.625 Y-0.625 F53</v>
      </c>
      <c r="BL21" s="43" t="str">
        <f>CONCATENATE(BB21,EI88)</f>
        <v>6 LBL 101</v>
      </c>
      <c r="BM21" s="43" t="str">
        <f>BG12</f>
        <v>G01 G41 X0.493 Y-0.493 F44</v>
      </c>
      <c r="BN21" s="43" t="str">
        <f>BL21</f>
        <v>6 LBL 101</v>
      </c>
      <c r="BO21" s="4" t="str">
        <f>BI12</f>
        <v>G01 G41 X0.423 Y-0.423 F39</v>
      </c>
      <c r="BP21" s="4" t="str">
        <f>BL21</f>
        <v>6 LBL 101</v>
      </c>
      <c r="BQ21" s="4" t="str">
        <f>BK15</f>
        <v>#2=0</v>
      </c>
      <c r="BR21" s="43" t="str">
        <f>BF21</f>
        <v>6 CP IPA+90 IZ+0.188 DR+</v>
      </c>
      <c r="BS21" s="43" t="str">
        <f>BQ21</f>
        <v>#2=0</v>
      </c>
      <c r="BT21" s="43" t="str">
        <f>BH21</f>
        <v>6 CP IPA+90 IZ+0.188 DR+</v>
      </c>
      <c r="BU21" s="43" t="str">
        <f>BS21</f>
        <v>#2=0</v>
      </c>
      <c r="BV21" s="125" t="str">
        <f>BJ21</f>
        <v>6 CP IPA+90 IZ+0.188 DR+</v>
      </c>
      <c r="BW21" s="43" t="str">
        <f>CONCATENATE(EX21,EY21,EZ21,FA21,FB21,FC21,FD21,FE21,FF21,FG21,FH21,FI21)</f>
        <v>G03 X-1.274 Y-1.262 Z0.375 I-0.012 J-1.262</v>
      </c>
      <c r="BX21" s="125" t="str">
        <f>BF21</f>
        <v>6 CP IPA+90 IZ+0.188 DR+</v>
      </c>
      <c r="BY21" s="43" t="str">
        <f>CONCATENATE(FL21,FM21,FN21,FO21,FP21,FQ21,FR21,FS21,FT21,FU21,FV21,FW21)</f>
        <v>G03 X-1.01 Y-0.998 Z0.375 I-0.012 J-0.998</v>
      </c>
      <c r="BZ21" s="125" t="str">
        <f>BH21</f>
        <v>6 CP IPA+90 IZ+0.188 DR+</v>
      </c>
      <c r="CA21" s="43" t="str">
        <f>CONCATENATE(FZ21,GA21,GB21,GC21,GD21,GE21,GF21,GG21,GH21,GI21,GJ21,GK21)</f>
        <v>G03 X-0.87 Y-0.858 Z0.375 I-0.012 J-0.858</v>
      </c>
      <c r="CB21" s="125" t="str">
        <f>BJ21</f>
        <v>6 CP IPA+90 IZ+0.188 DR+</v>
      </c>
      <c r="CC21" s="43" t="str">
        <f>CONCATENATE(CP18,CQ18,CR18,". C",CT18,CU18,CV18,CW18,CX18,CY18,CZ18,DA18,DB18,DC18)</f>
        <v>G03 X0. C0. Z1.5 I-1.25 J0. F106</v>
      </c>
      <c r="CD21" s="43" t="str">
        <f>CONCATENATE(DE18,DF18,DG18,". C",DI18,DJ18,DK18,DL18,DM18,DN18,DO18,DP18,DQ18,DR18)</f>
        <v>G03 X0. C0. Z1.5 I-0.986 J0. F88</v>
      </c>
      <c r="CE21" s="43" t="str">
        <f>CONCATENATE(DT18,DU18,DV18,". C",DX18,DY18,DZ18,EA18,EB18,EC18,ED18,EE18,EF18,EG18)</f>
        <v>G03 X0. C0. Z1.5 I-0.846 J0. F78</v>
      </c>
      <c r="CF21" s="43" t="str">
        <f>BK18</f>
        <v>WHILE[#2LT#1]DO1</v>
      </c>
      <c r="CG21" s="43" t="str">
        <f>CF21</f>
        <v>WHILE[#2LT#1]DO1</v>
      </c>
      <c r="CH21" s="43" t="str">
        <f>CF21</f>
        <v>WHILE[#2LT#1]DO1</v>
      </c>
      <c r="CI21" s="43" t="str">
        <f>BQ18</f>
        <v>#1=14</v>
      </c>
      <c r="CJ21" s="43" t="str">
        <f>CI21</f>
        <v>#1=14</v>
      </c>
      <c r="CK21" s="43" t="str">
        <f>CJ21</f>
        <v>#1=14</v>
      </c>
      <c r="CL21" s="43" t="str">
        <f>CONCATENATE(EX18,EY18,EZ18,GT21,FB18,FC18,FD18,FE18,FF18,FG18,FH18,FI18,FJ18,C31)</f>
        <v>G03 X-1.25 C1.262 Z0.375 I-1.25 J0.012 F106</v>
      </c>
      <c r="CM21" s="43" t="str">
        <f>CONCATENATE(FL18,FM18,FN18,GV21,FP18,FQ18,FR18,FS18,FT18,FU18,FV18,FW18,FX18,AX62)</f>
        <v>G03 X-0.986 C0.998 Z0.375 I-0.986 J0.012 F88</v>
      </c>
      <c r="CN21" s="43" t="str">
        <f>CONCATENATE(FZ18,GA18,GB18,GX21,GD18,GE18,GF18,GG18,GH18,GI18,GJ18,GK18,GL18,AX68)</f>
        <v>G03 X-0.846 C0.858 Z0.375 I-0.846 J0.012 F78</v>
      </c>
      <c r="CO21" s="48">
        <v>6</v>
      </c>
      <c r="CP21" s="18" t="s">
        <v>571</v>
      </c>
      <c r="CQ21" s="18" t="s">
        <v>570</v>
      </c>
      <c r="CR21" s="18" t="str">
        <f>SUBSTITUTE(CR19,",",".")</f>
        <v>-0.625</v>
      </c>
      <c r="CS21" s="18" t="str">
        <f>IF(CR19=CR20,". Y"," Y")</f>
        <v xml:space="preserve"> Y</v>
      </c>
      <c r="CT21" s="18" t="str">
        <f>SUBSTITUTE(CT19,",",".")</f>
        <v>0.625</v>
      </c>
      <c r="CU21" s="18" t="str">
        <f>IF(CT19=CT20,". Z"," Z")</f>
        <v xml:space="preserve"> Z</v>
      </c>
      <c r="CV21" s="18" t="str">
        <f>SUBSTITUTE(CV19,",",".")</f>
        <v>0.188</v>
      </c>
      <c r="CW21" s="18" t="str">
        <f>IF(CV19=CV20,". I"," I")</f>
        <v xml:space="preserve"> I</v>
      </c>
      <c r="CX21" s="18" t="str">
        <f>SUBSTITUTE(CX19,",",".")</f>
        <v>-0.625</v>
      </c>
      <c r="CY21" s="18" t="str">
        <f>IF(CX19=CX20,". J"," J")</f>
        <v xml:space="preserve"> J</v>
      </c>
      <c r="CZ21" s="18">
        <v>0</v>
      </c>
      <c r="DA21" s="25" t="s">
        <v>1053</v>
      </c>
      <c r="DB21" s="25" t="s">
        <v>2341</v>
      </c>
      <c r="DC21" s="25">
        <f>C31*5</f>
        <v>530</v>
      </c>
      <c r="DD21" s="48">
        <v>6</v>
      </c>
      <c r="DE21" s="18" t="s">
        <v>571</v>
      </c>
      <c r="DF21" s="18" t="s">
        <v>570</v>
      </c>
      <c r="DG21" s="18" t="str">
        <f>SUBSTITUTE(DG19,",",".")</f>
        <v>-0.493</v>
      </c>
      <c r="DH21" s="18" t="str">
        <f>IF(DG19=DG20,". Y"," Y")</f>
        <v xml:space="preserve"> Y</v>
      </c>
      <c r="DI21" s="18" t="str">
        <f>SUBSTITUTE(DI19,",",".")</f>
        <v>0.493</v>
      </c>
      <c r="DJ21" s="18" t="str">
        <f>IF(DI19=DI20,". Z"," Z")</f>
        <v xml:space="preserve"> Z</v>
      </c>
      <c r="DK21" s="18" t="str">
        <f>SUBSTITUTE(DK19,",",".")</f>
        <v>0.188</v>
      </c>
      <c r="DL21" s="18" t="str">
        <f>IF(DK19=DK20,". I"," I")</f>
        <v xml:space="preserve"> I</v>
      </c>
      <c r="DM21" s="18" t="str">
        <f>SUBSTITUTE(DM19,",",".")</f>
        <v>-0.493</v>
      </c>
      <c r="DN21" s="18" t="str">
        <f>IF(DM19=DM20,". J"," J")</f>
        <v xml:space="preserve"> J</v>
      </c>
      <c r="DO21" s="18">
        <v>0</v>
      </c>
      <c r="DP21" s="25" t="s">
        <v>1053</v>
      </c>
      <c r="DQ21" s="25" t="s">
        <v>2341</v>
      </c>
      <c r="DR21" s="25">
        <f>AX62*5</f>
        <v>440</v>
      </c>
      <c r="DS21" s="48">
        <v>6</v>
      </c>
      <c r="DT21" s="18" t="s">
        <v>571</v>
      </c>
      <c r="DU21" s="18" t="s">
        <v>570</v>
      </c>
      <c r="DV21" s="18" t="str">
        <f>SUBSTITUTE(DV19,",",".")</f>
        <v>-0.423</v>
      </c>
      <c r="DW21" s="18" t="str">
        <f>IF(DV19=DV20,". Y"," Y")</f>
        <v xml:space="preserve"> Y</v>
      </c>
      <c r="DX21" s="18" t="str">
        <f>SUBSTITUTE(DX19,",",".")</f>
        <v>0.423</v>
      </c>
      <c r="DY21" s="18" t="str">
        <f>IF(DX19=DX20,". Z"," Z")</f>
        <v xml:space="preserve"> Z</v>
      </c>
      <c r="DZ21" s="18" t="str">
        <f>SUBSTITUTE(DZ19,",",".")</f>
        <v>0.188</v>
      </c>
      <c r="EA21" s="18" t="str">
        <f>IF(DZ19=DZ20,". I"," I")</f>
        <v xml:space="preserve"> I</v>
      </c>
      <c r="EB21" s="18" t="str">
        <f>SUBSTITUTE(EB19,",",".")</f>
        <v>-0.423</v>
      </c>
      <c r="EC21" s="18" t="str">
        <f>IF(EB19=EB20,". J"," J")</f>
        <v xml:space="preserve"> J</v>
      </c>
      <c r="ED21" s="18">
        <v>0</v>
      </c>
      <c r="EE21" s="25" t="s">
        <v>1053</v>
      </c>
      <c r="EF21" s="25" t="s">
        <v>2341</v>
      </c>
      <c r="EG21" s="25">
        <f>AX68*5</f>
        <v>390</v>
      </c>
      <c r="EW21" s="48">
        <v>6</v>
      </c>
      <c r="EX21" s="33" t="s">
        <v>571</v>
      </c>
      <c r="EY21" s="33" t="s">
        <v>570</v>
      </c>
      <c r="EZ21" s="18" t="str">
        <f>SUBSTITUTE(EZ19,",",".")</f>
        <v>-1.274</v>
      </c>
      <c r="FA21" s="18" t="str">
        <f>IF(EZ19=EZ20,". Y"," Y")</f>
        <v xml:space="preserve"> Y</v>
      </c>
      <c r="FB21" s="18" t="str">
        <f>SUBSTITUTE(FB19,",",".")</f>
        <v>-1.262</v>
      </c>
      <c r="FC21" s="18" t="str">
        <f>IF(FB19=FB20,". Z"," Z")</f>
        <v xml:space="preserve"> Z</v>
      </c>
      <c r="FD21" s="18" t="str">
        <f>SUBSTITUTE(FD19,",",".")</f>
        <v>0.375</v>
      </c>
      <c r="FE21" s="18" t="str">
        <f>IF(FD19=FD20,". I"," I")</f>
        <v xml:space="preserve"> I</v>
      </c>
      <c r="FF21" s="18" t="str">
        <f>SUBSTITUTE(FF19,",",".")</f>
        <v>-0.012</v>
      </c>
      <c r="FG21" s="18" t="str">
        <f>IF(FF19=FF20,". J"," J")</f>
        <v xml:space="preserve"> J</v>
      </c>
      <c r="FH21" s="18" t="str">
        <f>SUBSTITUTE(FH19,",",".")</f>
        <v>-1.262</v>
      </c>
      <c r="FI21" s="18" t="str">
        <f>IF(FH19=FH20,".","")</f>
        <v/>
      </c>
      <c r="FJ21" s="18"/>
      <c r="FK21" s="48">
        <v>6</v>
      </c>
      <c r="FL21" s="33" t="s">
        <v>571</v>
      </c>
      <c r="FM21" s="33" t="s">
        <v>570</v>
      </c>
      <c r="FN21" s="18" t="str">
        <f>SUBSTITUTE(FN19,",",".")</f>
        <v>-1.01</v>
      </c>
      <c r="FO21" s="18" t="str">
        <f>IF(FN19=FN20,". Y"," Y")</f>
        <v xml:space="preserve"> Y</v>
      </c>
      <c r="FP21" s="18" t="str">
        <f>SUBSTITUTE(FP19,",",".")</f>
        <v>-0.998</v>
      </c>
      <c r="FQ21" s="18" t="str">
        <f>IF(FP19=FP20,". Z"," Z")</f>
        <v xml:space="preserve"> Z</v>
      </c>
      <c r="FR21" s="18" t="str">
        <f>SUBSTITUTE(FR19,",",".")</f>
        <v>0.375</v>
      </c>
      <c r="FS21" s="18" t="str">
        <f>IF(FR19=FR20,". I"," I")</f>
        <v xml:space="preserve"> I</v>
      </c>
      <c r="FT21" s="18" t="str">
        <f>SUBSTITUTE(FT19,",",".")</f>
        <v>-0.012</v>
      </c>
      <c r="FU21" s="18" t="str">
        <f>IF(FT19=FT20,". J"," J")</f>
        <v xml:space="preserve"> J</v>
      </c>
      <c r="FV21" s="18" t="str">
        <f>SUBSTITUTE(FV19,",",".")</f>
        <v>-0.998</v>
      </c>
      <c r="FW21" s="18" t="str">
        <f>IF(FV19=FV20,".","")</f>
        <v/>
      </c>
      <c r="FX21" s="18"/>
      <c r="FY21" s="48">
        <v>6</v>
      </c>
      <c r="FZ21" s="33" t="s">
        <v>571</v>
      </c>
      <c r="GA21" s="33" t="s">
        <v>570</v>
      </c>
      <c r="GB21" s="18" t="str">
        <f>SUBSTITUTE(GB19,",",".")</f>
        <v>-0.87</v>
      </c>
      <c r="GC21" s="18" t="str">
        <f>IF(GB19=GB20,". Y"," Y")</f>
        <v xml:space="preserve"> Y</v>
      </c>
      <c r="GD21" s="18" t="str">
        <f>SUBSTITUTE(GD19,",",".")</f>
        <v>-0.858</v>
      </c>
      <c r="GE21" s="18" t="str">
        <f>IF(GD19=GD20,". Z"," Z")</f>
        <v xml:space="preserve"> Z</v>
      </c>
      <c r="GF21" s="18" t="str">
        <f>SUBSTITUTE(GF19,",",".")</f>
        <v>0.375</v>
      </c>
      <c r="GG21" s="18" t="str">
        <f>IF(GF19=GF20,". I"," I")</f>
        <v xml:space="preserve"> I</v>
      </c>
      <c r="GH21" s="18" t="str">
        <f>SUBSTITUTE(GH19,",",".")</f>
        <v>-0.012</v>
      </c>
      <c r="GI21" s="18" t="str">
        <f>IF(GH19=GH20,". J"," J")</f>
        <v xml:space="preserve"> J</v>
      </c>
      <c r="GJ21" s="18" t="str">
        <f>SUBSTITUTE(GJ19,",",".")</f>
        <v>-0.858</v>
      </c>
      <c r="GK21" s="18" t="str">
        <f>IF(GJ19=GJ20,".","")</f>
        <v/>
      </c>
      <c r="GL21" s="18"/>
      <c r="GS21" s="48">
        <v>6</v>
      </c>
      <c r="GT21" s="33" t="str">
        <f>IF(EZ16=EZ17,". C"," C")</f>
        <v xml:space="preserve"> C</v>
      </c>
      <c r="GU21" s="48">
        <v>6</v>
      </c>
      <c r="GV21" s="33" t="str">
        <f>IF(FN16=FN17,". C"," C")</f>
        <v xml:space="preserve"> C</v>
      </c>
      <c r="GW21" s="48">
        <v>6</v>
      </c>
      <c r="GX21" s="33" t="str">
        <f>IF(GB16=GB17,". C"," C")</f>
        <v xml:space="preserve"> C</v>
      </c>
    </row>
    <row r="22" spans="1:206" ht="20" customHeight="1">
      <c r="A22" s="139"/>
      <c r="B22" s="147" t="str">
        <f t="shared" ref="B22:B32" si="17">I68</f>
        <v>d = diámetro del corte (mm)</v>
      </c>
      <c r="C22" s="153">
        <f>LOOKUP(AK12,TOOLS!A2:A488,TOOLS!G2:G488)</f>
        <v>7.5</v>
      </c>
      <c r="D22" s="158"/>
      <c r="E22" s="148">
        <v>5</v>
      </c>
      <c r="F22" s="138" t="str">
        <f>IF(BC60=0,"",BC60)</f>
        <v/>
      </c>
      <c r="G22" s="135"/>
      <c r="H22" s="25">
        <v>6</v>
      </c>
      <c r="I22" s="5" t="str">
        <f t="shared" si="15"/>
        <v>NPTF - dryseal, rosca de tubo cónica</v>
      </c>
      <c r="J22" s="34" t="s">
        <v>1880</v>
      </c>
      <c r="K22" s="63" t="s">
        <v>1023</v>
      </c>
      <c r="L22" s="34" t="s">
        <v>749</v>
      </c>
      <c r="M22" s="34" t="s">
        <v>1204</v>
      </c>
      <c r="N22" s="34" t="s">
        <v>755</v>
      </c>
      <c r="O22" s="34" t="s">
        <v>886</v>
      </c>
      <c r="P22" t="s">
        <v>1714</v>
      </c>
      <c r="Q22" s="34" t="s">
        <v>1168</v>
      </c>
      <c r="R22" s="34" t="s">
        <v>146</v>
      </c>
      <c r="S22" s="34" t="s">
        <v>1777</v>
      </c>
      <c r="T22" s="34" t="s">
        <v>1251</v>
      </c>
      <c r="U22" s="34" t="s">
        <v>1489</v>
      </c>
      <c r="V22" s="34" t="s">
        <v>1574</v>
      </c>
      <c r="W22" s="34" t="s">
        <v>1507</v>
      </c>
      <c r="X22" s="34" t="s">
        <v>534</v>
      </c>
      <c r="Y22" s="34" t="s">
        <v>1668</v>
      </c>
      <c r="Z22" s="34" t="s">
        <v>584</v>
      </c>
      <c r="AA22" s="74" t="s">
        <v>1354</v>
      </c>
      <c r="AB22" s="88" t="s">
        <v>1621</v>
      </c>
      <c r="AC22" s="79" t="s">
        <v>483</v>
      </c>
      <c r="AD22" s="93" t="s">
        <v>196</v>
      </c>
      <c r="AE22" s="34" t="s">
        <v>282</v>
      </c>
      <c r="AF22" t="str">
        <f>TOOLS!W22</f>
        <v/>
      </c>
      <c r="AG22" s="25">
        <v>20</v>
      </c>
      <c r="AH22" s="6">
        <v>63</v>
      </c>
      <c r="AI22" s="8">
        <v>0.7</v>
      </c>
      <c r="AK22" s="10"/>
      <c r="AL22" s="7" t="s">
        <v>2348</v>
      </c>
      <c r="AM22" s="7" t="s">
        <v>1015</v>
      </c>
      <c r="AN22" s="14">
        <f t="shared" si="16"/>
        <v>4.1149120147542035</v>
      </c>
      <c r="AO22" s="11">
        <f t="shared" si="14"/>
        <v>1.9487171000000008E-2</v>
      </c>
      <c r="AY22" s="33">
        <v>1000022</v>
      </c>
      <c r="AZ22" s="33">
        <f t="shared" si="11"/>
        <v>0</v>
      </c>
      <c r="BB22" s="39"/>
      <c r="BC22" s="44"/>
      <c r="BD22" s="44"/>
      <c r="BP22" s="43"/>
      <c r="CO22" s="48"/>
      <c r="CP22" s="18"/>
      <c r="CQ22" s="18"/>
      <c r="CR22" s="18"/>
      <c r="CS22" s="18">
        <f>-AV57</f>
        <v>-0.625</v>
      </c>
      <c r="CT22" s="18"/>
      <c r="CU22" s="18">
        <f>-AV57</f>
        <v>-0.625</v>
      </c>
      <c r="CV22" s="18"/>
      <c r="CW22" s="18"/>
      <c r="CX22" s="18"/>
      <c r="CY22" s="18"/>
      <c r="CZ22" s="18"/>
      <c r="DD22" s="48"/>
      <c r="DE22" s="18"/>
      <c r="DF22" s="18"/>
      <c r="DG22" s="18"/>
      <c r="DH22" s="18">
        <f>-AW62</f>
        <v>-0.49299999999999999</v>
      </c>
      <c r="DI22" s="18"/>
      <c r="DJ22" s="18">
        <f>-AW62</f>
        <v>-0.49299999999999999</v>
      </c>
      <c r="DK22" s="18"/>
      <c r="DL22" s="18"/>
      <c r="DM22" s="18"/>
      <c r="DN22" s="18"/>
      <c r="DO22" s="18"/>
      <c r="DP22" s="25"/>
      <c r="DQ22" s="25"/>
      <c r="DR22" s="25"/>
      <c r="DS22" s="48"/>
      <c r="DT22" s="18"/>
      <c r="DU22" s="18"/>
      <c r="DV22" s="18"/>
      <c r="DW22" s="18">
        <f>-AW68</f>
        <v>-0.42299999999999999</v>
      </c>
      <c r="DX22" s="18"/>
      <c r="DY22" s="18">
        <f>-AW68</f>
        <v>-0.42299999999999999</v>
      </c>
      <c r="DZ22" s="18"/>
      <c r="EA22" s="18"/>
      <c r="EB22" s="18"/>
      <c r="EC22" s="18"/>
      <c r="ED22" s="18"/>
      <c r="EE22" s="25"/>
      <c r="EF22" s="25"/>
      <c r="EG22" s="25"/>
      <c r="EZ22" s="33">
        <f>-EZ19</f>
        <v>1.274</v>
      </c>
      <c r="FB22" s="33">
        <f>EZ19+FF19</f>
        <v>-1.286</v>
      </c>
      <c r="FD22" s="33">
        <f>FD16</f>
        <v>0.375</v>
      </c>
      <c r="FF22" s="33">
        <f>EZ22</f>
        <v>1.274</v>
      </c>
      <c r="FH22" s="33">
        <f>-FH16</f>
        <v>-1.2E-2</v>
      </c>
      <c r="FN22" s="33">
        <f>-FN19</f>
        <v>1.01</v>
      </c>
      <c r="FP22" s="33">
        <f>FN19+FT19</f>
        <v>-1.022</v>
      </c>
      <c r="FR22" s="33">
        <f>FR16</f>
        <v>0.375</v>
      </c>
      <c r="FT22" s="33">
        <f>FN22</f>
        <v>1.01</v>
      </c>
      <c r="FV22" s="33">
        <f>-FV16</f>
        <v>-1.2E-2</v>
      </c>
      <c r="GB22" s="33">
        <f>-GB19</f>
        <v>0.87</v>
      </c>
      <c r="GD22" s="33">
        <f>GB19+GH19</f>
        <v>-0.88200000000000001</v>
      </c>
      <c r="GF22" s="33">
        <f>GF16</f>
        <v>0.375</v>
      </c>
      <c r="GH22" s="33">
        <f>GB22</f>
        <v>0.87</v>
      </c>
      <c r="GJ22" s="33">
        <f>-GJ16</f>
        <v>-1.2E-2</v>
      </c>
    </row>
    <row r="23" spans="1:206" ht="20" customHeight="1">
      <c r="A23" s="139"/>
      <c r="B23" s="147" t="str">
        <f t="shared" si="17"/>
        <v>l = longitud del corte (mm)</v>
      </c>
      <c r="C23" s="153">
        <f>LOOKUP(AK12,TOOLS!A2:A488,TOOLS!J2:J488)</f>
        <v>21.75</v>
      </c>
      <c r="D23" s="159"/>
      <c r="E23" s="148">
        <v>6</v>
      </c>
      <c r="F23" s="138" t="str">
        <f>IF(BC63=0,"",BC63)</f>
        <v/>
      </c>
      <c r="G23" s="135"/>
      <c r="H23" s="25">
        <v>7</v>
      </c>
      <c r="I23" s="5" t="str">
        <f t="shared" si="15"/>
        <v>NPSF - rosca de tubo</v>
      </c>
      <c r="J23" s="34" t="s">
        <v>1881</v>
      </c>
      <c r="K23" s="63" t="s">
        <v>1024</v>
      </c>
      <c r="L23" s="34" t="s">
        <v>610</v>
      </c>
      <c r="M23" s="34" t="s">
        <v>1205</v>
      </c>
      <c r="N23" s="34" t="s">
        <v>611</v>
      </c>
      <c r="O23" s="34" t="s">
        <v>829</v>
      </c>
      <c r="P23" t="s">
        <v>1715</v>
      </c>
      <c r="Q23" s="34" t="s">
        <v>405</v>
      </c>
      <c r="R23" s="34" t="s">
        <v>147</v>
      </c>
      <c r="S23" s="34" t="s">
        <v>1778</v>
      </c>
      <c r="T23" s="34" t="s">
        <v>1252</v>
      </c>
      <c r="U23" s="34" t="s">
        <v>1490</v>
      </c>
      <c r="V23" s="34" t="s">
        <v>1575</v>
      </c>
      <c r="W23" s="34" t="s">
        <v>1464</v>
      </c>
      <c r="X23" s="34" t="s">
        <v>591</v>
      </c>
      <c r="Y23" s="34" t="s">
        <v>1669</v>
      </c>
      <c r="Z23" s="34" t="s">
        <v>798</v>
      </c>
      <c r="AA23" s="74" t="s">
        <v>1355</v>
      </c>
      <c r="AB23" s="88" t="s">
        <v>1440</v>
      </c>
      <c r="AC23" s="79" t="s">
        <v>484</v>
      </c>
      <c r="AD23" s="93" t="s">
        <v>109</v>
      </c>
      <c r="AE23" s="34" t="s">
        <v>151</v>
      </c>
      <c r="AF23" t="str">
        <f>TOOLS!W23</f>
        <v/>
      </c>
      <c r="AG23" s="25">
        <v>21</v>
      </c>
      <c r="AH23" s="6">
        <v>55</v>
      </c>
      <c r="AI23" s="8">
        <v>0.6</v>
      </c>
      <c r="AK23" s="7" t="s">
        <v>808</v>
      </c>
      <c r="AL23" s="11">
        <f>AL3*AQ78*AL12</f>
        <v>2.1000000000000001E-2</v>
      </c>
      <c r="AM23" s="11">
        <f>AL3*AQ139*AL12</f>
        <v>8.8168932792911714E-2</v>
      </c>
      <c r="AN23" s="14">
        <f t="shared" si="16"/>
        <v>4.5675523363771662</v>
      </c>
      <c r="AO23" s="11">
        <f t="shared" si="14"/>
        <v>2.1435888100000012E-2</v>
      </c>
      <c r="AQ23" s="7" t="s">
        <v>820</v>
      </c>
      <c r="AR23" s="31">
        <f>IF(AL29=1,AR21*AV9,IF(AL29=2,AY64*AV9,IF(AL29=3,AY71*AV9)))</f>
        <v>6.8009478672985786</v>
      </c>
      <c r="AY23" s="33">
        <v>1000032</v>
      </c>
      <c r="AZ23" s="33">
        <f t="shared" si="11"/>
        <v>0</v>
      </c>
      <c r="BB23" s="39"/>
      <c r="BC23" s="44"/>
      <c r="BD23" s="44"/>
      <c r="BP23" s="43"/>
      <c r="CS23" s="25">
        <f>INT(CS22)</f>
        <v>-1</v>
      </c>
      <c r="CU23" s="25">
        <f>INT(CU22)</f>
        <v>-1</v>
      </c>
      <c r="DD23" s="45"/>
      <c r="DE23"/>
      <c r="DF23"/>
      <c r="DG23"/>
      <c r="DH23" s="25">
        <f>INT(DH22)</f>
        <v>-1</v>
      </c>
      <c r="DI23"/>
      <c r="DJ23" s="25">
        <f>INT(DJ22)</f>
        <v>-1</v>
      </c>
      <c r="DK23"/>
      <c r="DL23"/>
      <c r="DM23"/>
      <c r="DN23"/>
      <c r="DO23"/>
      <c r="DP23" s="25"/>
      <c r="DQ23" s="25"/>
      <c r="DR23" s="25"/>
      <c r="DW23" s="25">
        <f>INT(DW22)</f>
        <v>-1</v>
      </c>
      <c r="DY23" s="25">
        <f>INT(DY22)</f>
        <v>-1</v>
      </c>
      <c r="EE23" s="25"/>
      <c r="EF23" s="25"/>
      <c r="EG23" s="25"/>
      <c r="EZ23" s="25">
        <f>INT(EZ22)</f>
        <v>1</v>
      </c>
      <c r="FB23" s="25">
        <f>INT(FB22)</f>
        <v>-2</v>
      </c>
      <c r="FD23" s="25">
        <f>INT(FD22)</f>
        <v>0</v>
      </c>
      <c r="FF23" s="25">
        <f>INT(FF22)</f>
        <v>1</v>
      </c>
      <c r="FH23" s="25">
        <f>INT(FH22)</f>
        <v>-1</v>
      </c>
      <c r="FN23" s="25">
        <f>INT(FN22)</f>
        <v>1</v>
      </c>
      <c r="FP23" s="25">
        <f>INT(FP22)</f>
        <v>-2</v>
      </c>
      <c r="FR23" s="25">
        <f>INT(FR22)</f>
        <v>0</v>
      </c>
      <c r="FT23" s="25">
        <f>INT(FT22)</f>
        <v>1</v>
      </c>
      <c r="FV23" s="25">
        <f>INT(FV22)</f>
        <v>-1</v>
      </c>
      <c r="GB23" s="25">
        <f>INT(GB22)</f>
        <v>0</v>
      </c>
      <c r="GD23" s="25">
        <f>INT(GD22)</f>
        <v>-1</v>
      </c>
      <c r="GF23" s="25">
        <f>INT(GF22)</f>
        <v>0</v>
      </c>
      <c r="GH23" s="25">
        <f>INT(GH22)</f>
        <v>0</v>
      </c>
      <c r="GJ23" s="25">
        <f>INT(GJ22)</f>
        <v>-1</v>
      </c>
    </row>
    <row r="24" spans="1:206" ht="20" customHeight="1">
      <c r="A24" s="139"/>
      <c r="B24" s="147" t="str">
        <f t="shared" si="17"/>
        <v>z = número de labios</v>
      </c>
      <c r="C24" s="153">
        <f>LOOKUP(AK12,TOOLS!A2:A488,TOOLS!H2:H488)</f>
        <v>3</v>
      </c>
      <c r="D24" s="151"/>
      <c r="E24" s="148">
        <v>7</v>
      </c>
      <c r="F24" s="138" t="str">
        <f>IF(BC66=0,"",BC66)</f>
        <v/>
      </c>
      <c r="G24" s="135"/>
      <c r="H24" s="25">
        <v>8</v>
      </c>
      <c r="I24" s="5" t="str">
        <f t="shared" si="15"/>
        <v>PG - Panzerrohrgewinde</v>
      </c>
      <c r="J24" s="34" t="s">
        <v>1882</v>
      </c>
      <c r="K24" s="63" t="s">
        <v>1025</v>
      </c>
      <c r="L24" s="34" t="s">
        <v>1033</v>
      </c>
      <c r="M24" s="34" t="s">
        <v>1033</v>
      </c>
      <c r="N24" s="34" t="s">
        <v>1033</v>
      </c>
      <c r="O24" s="34" t="s">
        <v>1033</v>
      </c>
      <c r="P24" s="34" t="s">
        <v>1716</v>
      </c>
      <c r="Q24" s="34" t="s">
        <v>1169</v>
      </c>
      <c r="R24" s="34" t="s">
        <v>148</v>
      </c>
      <c r="S24" s="34" t="s">
        <v>1779</v>
      </c>
      <c r="T24" s="34" t="s">
        <v>1033</v>
      </c>
      <c r="U24" s="34" t="s">
        <v>1405</v>
      </c>
      <c r="V24" s="34" t="s">
        <v>1576</v>
      </c>
      <c r="W24" s="34" t="s">
        <v>1033</v>
      </c>
      <c r="X24" s="34" t="s">
        <v>592</v>
      </c>
      <c r="Y24" s="34" t="s">
        <v>1670</v>
      </c>
      <c r="Z24" s="34" t="s">
        <v>663</v>
      </c>
      <c r="AA24" s="74" t="s">
        <v>1356</v>
      </c>
      <c r="AB24" s="88" t="s">
        <v>1441</v>
      </c>
      <c r="AC24" s="79" t="s">
        <v>485</v>
      </c>
      <c r="AD24" s="93" t="s">
        <v>110</v>
      </c>
      <c r="AE24" s="34" t="s">
        <v>155</v>
      </c>
      <c r="AF24" t="str">
        <f>TOOLS!W24</f>
        <v/>
      </c>
      <c r="AG24" s="25">
        <v>22</v>
      </c>
      <c r="AH24" s="6">
        <v>180</v>
      </c>
      <c r="AI24" s="8">
        <v>1</v>
      </c>
      <c r="AK24" s="7" t="s">
        <v>838</v>
      </c>
      <c r="AL24" s="11">
        <f>AL23*1.6</f>
        <v>3.3600000000000005E-2</v>
      </c>
      <c r="AM24" s="11">
        <f>AM23*1.6</f>
        <v>0.14107029246865874</v>
      </c>
      <c r="AN24" s="14">
        <f t="shared" si="16"/>
        <v>5.0699830933786547</v>
      </c>
      <c r="AO24" s="11">
        <f t="shared" si="14"/>
        <v>2.3579476910000015E-2</v>
      </c>
      <c r="AR24" s="31">
        <f>IF(D23&gt;0,AR23/AV9,AR23)</f>
        <v>6.8009478672985786</v>
      </c>
      <c r="AY24" s="33">
        <v>1000112</v>
      </c>
      <c r="AZ24" s="33">
        <f t="shared" si="11"/>
        <v>0</v>
      </c>
      <c r="BB24" s="39">
        <v>7</v>
      </c>
      <c r="BC24" s="44" t="str">
        <f>LOOKUP(AZ$54,BD$5:CN$5,BD24:CN24)</f>
        <v>G01 G40 X-0.625 Y-0.625</v>
      </c>
      <c r="BD24" s="44"/>
      <c r="BE24" s="43" t="str">
        <f>CONCATENATE(CP24,CQ24,CR24,CS24,CT24,CU24,CV24)</f>
        <v>G01 G40 X-0.625 Y-0.625</v>
      </c>
      <c r="BF24" s="43" t="str">
        <f>CONCATENATE(BB24,CP91,CQ91,CR91)</f>
        <v>7 CC IX-1.25 IY+0</v>
      </c>
      <c r="BG24" s="43" t="str">
        <f>CONCATENATE(DE24,DF24,DG24,DH24,DI24,DJ24,DK24)</f>
        <v>G01 G40 X-0.493 Y-0.493</v>
      </c>
      <c r="BH24" s="43" t="str">
        <f>CONCATENATE(BB24,DE91,DF91,DG91)</f>
        <v>7 CC IX-0.986 IY+0</v>
      </c>
      <c r="BI24" s="43" t="str">
        <f>CONCATENATE(DT24,DU24,DV24,DW24,DX24,DY24,DZ24)</f>
        <v>G01 G40 X-0.423 Y-0.423</v>
      </c>
      <c r="BJ24" s="43" t="str">
        <f>CONCATENATE(BB24,DT91,DU91,DV91)</f>
        <v>7 CC IX-0.846 IY+0</v>
      </c>
      <c r="BK24" s="43" t="str">
        <f>BE15</f>
        <v>G03 X0.625 Y0.625 Z0.188 I0. J0.625</v>
      </c>
      <c r="BL24" s="43" t="str">
        <f>CONCATENATE(BB24,CP82,CQ82,CR82,CS82,CT82,CU82)</f>
        <v>7 L IX+0.625 IY-0.625 RL F53</v>
      </c>
      <c r="BM24" s="43" t="str">
        <f>BG15</f>
        <v>G03 X0.493 Y0.493 Z0.188 I0. J0.493</v>
      </c>
      <c r="BN24" s="43" t="str">
        <f>CONCATENATE(BB24,DE82,DF82,DG82,DH82,DI82,DJ82)</f>
        <v>7 L IX+0.493 IY-0.493 RL F44</v>
      </c>
      <c r="BO24" s="4" t="str">
        <f>BI15</f>
        <v>G03 X0.423 Y0.423 Z0.188 I0. J0.423</v>
      </c>
      <c r="BP24" s="43" t="str">
        <f>CONCATENATE(BB24,DT82,DU82,DV82,DW82,DX82,DY82)</f>
        <v>7 L IX+0.423 IY-0.423 RL F39</v>
      </c>
      <c r="BQ24" s="4" t="str">
        <f>BK18</f>
        <v>WHILE[#2LT#1]DO1</v>
      </c>
      <c r="BR24" s="4" t="str">
        <f>CONCATENATE(BB24,EI82,EO18)</f>
        <v>7 FN 0: Q1 =+14</v>
      </c>
      <c r="BS24" s="43" t="str">
        <f>BQ24</f>
        <v>WHILE[#2LT#1]DO1</v>
      </c>
      <c r="BT24" s="43" t="str">
        <f>BR24</f>
        <v>7 FN 0: Q1 =+14</v>
      </c>
      <c r="BU24" s="43" t="str">
        <f>BS24</f>
        <v>WHILE[#2LT#1]DO1</v>
      </c>
      <c r="BV24" s="125" t="str">
        <f>BR24</f>
        <v>7 FN 0: Q1 =+14</v>
      </c>
      <c r="BW24" s="43" t="str">
        <f>CONCATENATE(EX24,EY24,EZ24,FA24,FB24,FC24,FD24,FE24,FF24,FG24,FH24,FI24)</f>
        <v>G03 X1.274 Y-1.286 Z0.375 I1.274 J-0.012</v>
      </c>
      <c r="BX24" s="125" t="str">
        <f>CONCATENATE(BB24,CP91,FF18,EX91,FH18)</f>
        <v>7 CC IX-1.25 IY+0.012</v>
      </c>
      <c r="BY24" s="43" t="str">
        <f>CONCATENATE(FL24,FM24,FN24,FO24,FP24,FQ24,FR24,FS24,FT24,FU24,FV24,FW24)</f>
        <v>G03 X1.01 Y-1.022 Z0.375 I1.01 J-0.012</v>
      </c>
      <c r="BZ24" s="125" t="str">
        <f>CONCATENATE(BB24,CP91,FT18,EX91,FV18)</f>
        <v>7 CC IX-0.986 IY+0.012</v>
      </c>
      <c r="CA24" s="43" t="str">
        <f>CONCATENATE(FZ24,GA24,GB24,GC24,GD24,GE24,GF24,GG24,GH24,GI24,GJ24,GK24)</f>
        <v>G03 X0.87 Y-0.882 Z0.375 I0.87 J-0.012</v>
      </c>
      <c r="CB24" s="125" t="str">
        <f>CONCATENATE(BB24,CP91,GH18,EX91,GJ18)</f>
        <v>7 CC IX-0.846 IY+0.012</v>
      </c>
      <c r="CC24" s="43" t="str">
        <f>CONCATENATE(CP21,CQ21,CR21,GN15,CT21,CU21,CV21,CW21,CX21,CY21,CZ21,DA21,DB21,DC21)</f>
        <v>G03 X-0.625 C0.625 Z0.188 I-0.625 J0. F530</v>
      </c>
      <c r="CD24" s="43" t="str">
        <f>CONCATENATE(DE21,DF21,DG21,GP15,DI21,DJ21,DK21,DL21,DM21,DN21,DO21,DP21,DQ21,DR21)</f>
        <v>G03 X-0.493 C0.493 Z0.188 I-0.493 J0. F440</v>
      </c>
      <c r="CE24" s="43" t="str">
        <f>CONCATENATE(DT21,DU21,DV21,GR15,DX21,DY21,DZ21,EA21,EB21,EC21,ED21,EE21,EF21,EG21)</f>
        <v>G03 X-0.423 C0.423 Z0.188 I-0.423 J0. F390</v>
      </c>
      <c r="CF24" s="43" t="str">
        <f>CC15</f>
        <v>G01 G41 X0.625 C-0.625 F53</v>
      </c>
      <c r="CG24" s="43" t="str">
        <f>CD15</f>
        <v>G01 G41 X0.493 C-0.493 F44</v>
      </c>
      <c r="CH24" s="43" t="str">
        <f>CE15</f>
        <v>G01 G41 X0.423 C-0.423 F39</v>
      </c>
      <c r="CI24" s="43" t="str">
        <f>BQ21</f>
        <v>#2=0</v>
      </c>
      <c r="CJ24" s="43" t="str">
        <f>CI24</f>
        <v>#2=0</v>
      </c>
      <c r="CK24" s="43" t="str">
        <f>CJ24</f>
        <v>#2=0</v>
      </c>
      <c r="CL24" s="43" t="str">
        <f>CONCATENATE(EX21,EY21,EZ21,GT24,FB21,FC21,FD21,FE21,FF21,FG21,FH21,FI21)</f>
        <v>G03 X-1.274 C-1.262 Z0.375 I-0.012 J-1.262</v>
      </c>
      <c r="CM24" s="43" t="str">
        <f>CONCATENATE(FL21,FM21,FN21,GV24,FP21,FQ21,FR21,FS21,FT21,FU21,FV21,FW21)</f>
        <v>G03 X-1.01 C-0.998 Z0.375 I-0.012 J-0.998</v>
      </c>
      <c r="CN24" s="43" t="str">
        <f>CONCATENATE(FZ21,GA21,GB21,GX24,GD21,GE21,GF21,GG21,GH21,GI21,GJ21,GK21)</f>
        <v>G03 X-0.87 C-0.858 Z0.375 I-0.012 J-0.858</v>
      </c>
      <c r="CO24" s="48">
        <v>7</v>
      </c>
      <c r="CP24" s="18" t="s">
        <v>568</v>
      </c>
      <c r="CQ24" s="18" t="s">
        <v>562</v>
      </c>
      <c r="CR24" s="18" t="s">
        <v>570</v>
      </c>
      <c r="CS24" s="18" t="str">
        <f>SUBSTITUTE(CS22,",",".")</f>
        <v>-0.625</v>
      </c>
      <c r="CT24" s="18" t="str">
        <f>IF(CS22=CS23,". Y"," Y")</f>
        <v xml:space="preserve"> Y</v>
      </c>
      <c r="CU24" s="18" t="str">
        <f>SUBSTITUTE(CU22,",",".")</f>
        <v>-0.625</v>
      </c>
      <c r="CV24" s="18" t="str">
        <f>IF(CU22=CU23,".","")</f>
        <v/>
      </c>
      <c r="CW24" s="18"/>
      <c r="CX24" s="18"/>
      <c r="CY24" s="18"/>
      <c r="CZ24" s="18"/>
      <c r="DD24" s="48">
        <v>7</v>
      </c>
      <c r="DE24" s="18" t="s">
        <v>568</v>
      </c>
      <c r="DF24" s="18" t="s">
        <v>562</v>
      </c>
      <c r="DG24" s="18" t="s">
        <v>570</v>
      </c>
      <c r="DH24" s="18" t="str">
        <f>SUBSTITUTE(DH22,",",".")</f>
        <v>-0.493</v>
      </c>
      <c r="DI24" s="18" t="str">
        <f>IF(DH22=DH23,". Y"," Y")</f>
        <v xml:space="preserve"> Y</v>
      </c>
      <c r="DJ24" s="18" t="str">
        <f>SUBSTITUTE(DJ22,",",".")</f>
        <v>-0.493</v>
      </c>
      <c r="DK24" s="18" t="str">
        <f>IF(DJ22=DJ23,".","")</f>
        <v/>
      </c>
      <c r="DL24" s="18"/>
      <c r="DM24" s="18"/>
      <c r="DN24" s="18"/>
      <c r="DO24" s="18"/>
      <c r="DP24" s="25"/>
      <c r="DQ24" s="25"/>
      <c r="DR24" s="25"/>
      <c r="DS24" s="48">
        <v>7</v>
      </c>
      <c r="DT24" s="18" t="s">
        <v>568</v>
      </c>
      <c r="DU24" s="18" t="s">
        <v>562</v>
      </c>
      <c r="DV24" s="18" t="s">
        <v>570</v>
      </c>
      <c r="DW24" s="18" t="str">
        <f>SUBSTITUTE(DW22,",",".")</f>
        <v>-0.423</v>
      </c>
      <c r="DX24" s="18" t="str">
        <f>IF(DW22=DW23,". Y"," Y")</f>
        <v xml:space="preserve"> Y</v>
      </c>
      <c r="DY24" s="18" t="str">
        <f>SUBSTITUTE(DY22,",",".")</f>
        <v>-0.423</v>
      </c>
      <c r="DZ24" s="18" t="str">
        <f>IF(DY22=DY23,".","")</f>
        <v/>
      </c>
      <c r="EA24" s="18"/>
      <c r="EB24" s="18"/>
      <c r="EC24" s="18"/>
      <c r="ED24" s="18"/>
      <c r="EE24" s="25"/>
      <c r="EF24" s="25"/>
      <c r="EG24" s="25"/>
      <c r="EW24" s="48">
        <v>7</v>
      </c>
      <c r="EX24" s="33" t="s">
        <v>571</v>
      </c>
      <c r="EY24" s="33" t="s">
        <v>570</v>
      </c>
      <c r="EZ24" s="18" t="str">
        <f>SUBSTITUTE(EZ22,",",".")</f>
        <v>1.274</v>
      </c>
      <c r="FA24" s="18" t="str">
        <f>IF(EZ22=EZ23,". Y"," Y")</f>
        <v xml:space="preserve"> Y</v>
      </c>
      <c r="FB24" s="18" t="str">
        <f>SUBSTITUTE(FB22,",",".")</f>
        <v>-1.286</v>
      </c>
      <c r="FC24" s="18" t="str">
        <f>IF(FB22=FB23,". Z"," Z")</f>
        <v xml:space="preserve"> Z</v>
      </c>
      <c r="FD24" s="18" t="str">
        <f>SUBSTITUTE(FD22,",",".")</f>
        <v>0.375</v>
      </c>
      <c r="FE24" s="18" t="str">
        <f>IF(FD22=FD23,". I"," I")</f>
        <v xml:space="preserve"> I</v>
      </c>
      <c r="FF24" s="18" t="str">
        <f>SUBSTITUTE(FF22,",",".")</f>
        <v>1.274</v>
      </c>
      <c r="FG24" s="18" t="str">
        <f>IF(FF22=FF23,". J"," J")</f>
        <v xml:space="preserve"> J</v>
      </c>
      <c r="FH24" s="18" t="str">
        <f>SUBSTITUTE(FH22,",",".")</f>
        <v>-0.012</v>
      </c>
      <c r="FI24" s="18" t="str">
        <f>IF(FH22=FH23,".","")</f>
        <v/>
      </c>
      <c r="FJ24" s="18"/>
      <c r="FK24" s="48">
        <v>7</v>
      </c>
      <c r="FL24" s="33" t="s">
        <v>571</v>
      </c>
      <c r="FM24" s="33" t="s">
        <v>570</v>
      </c>
      <c r="FN24" s="18" t="str">
        <f>SUBSTITUTE(FN22,",",".")</f>
        <v>1.01</v>
      </c>
      <c r="FO24" s="18" t="str">
        <f>IF(FN22=FN23,". Y"," Y")</f>
        <v xml:space="preserve"> Y</v>
      </c>
      <c r="FP24" s="18" t="str">
        <f>SUBSTITUTE(FP22,",",".")</f>
        <v>-1.022</v>
      </c>
      <c r="FQ24" s="18" t="str">
        <f>IF(FP22=FP23,". Z"," Z")</f>
        <v xml:space="preserve"> Z</v>
      </c>
      <c r="FR24" s="18" t="str">
        <f>SUBSTITUTE(FR22,",",".")</f>
        <v>0.375</v>
      </c>
      <c r="FS24" s="18" t="str">
        <f>IF(FR22=FR23,". I"," I")</f>
        <v xml:space="preserve"> I</v>
      </c>
      <c r="FT24" s="18" t="str">
        <f>SUBSTITUTE(FT22,",",".")</f>
        <v>1.01</v>
      </c>
      <c r="FU24" s="18" t="str">
        <f>IF(FT22=FT23,". J"," J")</f>
        <v xml:space="preserve"> J</v>
      </c>
      <c r="FV24" s="18" t="str">
        <f>SUBSTITUTE(FV22,",",".")</f>
        <v>-0.012</v>
      </c>
      <c r="FW24" s="18" t="str">
        <f>IF(FV22=FV23,".","")</f>
        <v/>
      </c>
      <c r="FX24" s="18"/>
      <c r="FY24" s="48">
        <v>7</v>
      </c>
      <c r="FZ24" s="33" t="s">
        <v>571</v>
      </c>
      <c r="GA24" s="33" t="s">
        <v>570</v>
      </c>
      <c r="GB24" s="18" t="str">
        <f>SUBSTITUTE(GB22,",",".")</f>
        <v>0.87</v>
      </c>
      <c r="GC24" s="18" t="str">
        <f>IF(GB22=GB23,". Y"," Y")</f>
        <v xml:space="preserve"> Y</v>
      </c>
      <c r="GD24" s="18" t="str">
        <f>SUBSTITUTE(GD22,",",".")</f>
        <v>-0.882</v>
      </c>
      <c r="GE24" s="18" t="str">
        <f>IF(GD22=GD23,". Z"," Z")</f>
        <v xml:space="preserve"> Z</v>
      </c>
      <c r="GF24" s="18" t="str">
        <f>SUBSTITUTE(GF22,",",".")</f>
        <v>0.375</v>
      </c>
      <c r="GG24" s="18" t="str">
        <f>IF(GF22=GF23,". I"," I")</f>
        <v xml:space="preserve"> I</v>
      </c>
      <c r="GH24" s="18" t="str">
        <f>SUBSTITUTE(GH22,",",".")</f>
        <v>0.87</v>
      </c>
      <c r="GI24" s="18" t="str">
        <f>IF(GH22=GH23,". J"," J")</f>
        <v xml:space="preserve"> J</v>
      </c>
      <c r="GJ24" s="18" t="str">
        <f>SUBSTITUTE(GJ22,",",".")</f>
        <v>-0.012</v>
      </c>
      <c r="GK24" s="18" t="str">
        <f>IF(GJ22=GJ23,".","")</f>
        <v/>
      </c>
      <c r="GL24" s="18"/>
      <c r="GS24" s="48">
        <v>7</v>
      </c>
      <c r="GT24" s="33" t="str">
        <f>IF(EZ19=EZ20,". C"," C")</f>
        <v xml:space="preserve"> C</v>
      </c>
      <c r="GU24" s="48">
        <v>7</v>
      </c>
      <c r="GV24" s="33" t="str">
        <f>IF(FN19=FN20,". C"," C")</f>
        <v xml:space="preserve"> C</v>
      </c>
      <c r="GW24" s="48">
        <v>7</v>
      </c>
      <c r="GX24" s="33" t="str">
        <f>IF(GB19=GB20,". C"," C")</f>
        <v xml:space="preserve"> C</v>
      </c>
    </row>
    <row r="25" spans="1:206" ht="20" customHeight="1">
      <c r="A25" s="139"/>
      <c r="B25" s="147" t="str">
        <f t="shared" si="17"/>
        <v>V = velocidad de corte (m/min)</v>
      </c>
      <c r="C25" s="154">
        <f>AK3</f>
        <v>158</v>
      </c>
      <c r="D25" s="151"/>
      <c r="E25" s="148">
        <v>8</v>
      </c>
      <c r="F25" s="138" t="str">
        <f>IF(BC69=0,"",BC69)</f>
        <v/>
      </c>
      <c r="G25" s="135"/>
      <c r="I25" s="5"/>
      <c r="J25" s="34"/>
      <c r="K25" s="63"/>
      <c r="AA25" s="74"/>
      <c r="AD25" s="93"/>
      <c r="AF25" t="str">
        <f>TOOLS!W25</f>
        <v/>
      </c>
      <c r="AG25" s="25">
        <v>23</v>
      </c>
      <c r="AH25" s="6">
        <v>138</v>
      </c>
      <c r="AI25" s="8">
        <v>1</v>
      </c>
      <c r="AK25" s="7" t="s">
        <v>839</v>
      </c>
      <c r="AL25" s="11">
        <f>AL24*1.25</f>
        <v>4.200000000000001E-2</v>
      </c>
      <c r="AM25" s="11">
        <f>AM24*1.25</f>
        <v>0.17633786558582343</v>
      </c>
      <c r="AN25" s="14">
        <f t="shared" si="16"/>
        <v>5.627681233650307</v>
      </c>
      <c r="AO25" s="11">
        <f t="shared" si="14"/>
        <v>2.5937424601000018E-2</v>
      </c>
      <c r="AQ25" s="7" t="s">
        <v>776</v>
      </c>
      <c r="AR25" s="31">
        <f>(AV48+0.52)*AR24*0.657</f>
        <v>64.87859431279621</v>
      </c>
      <c r="AY25" s="33">
        <v>1000122</v>
      </c>
      <c r="AZ25" s="33">
        <f t="shared" si="11"/>
        <v>0</v>
      </c>
      <c r="BB25" s="39"/>
      <c r="BC25" s="44"/>
      <c r="BD25" s="44"/>
      <c r="BP25" s="43"/>
      <c r="CO25" s="48"/>
      <c r="CP25" s="18"/>
      <c r="CQ25" s="18"/>
      <c r="CR25" s="11">
        <f>-CS7-CV13-CV16-CV19</f>
        <v>20.124000000000002</v>
      </c>
      <c r="CS25" s="18"/>
      <c r="CT25" s="18"/>
      <c r="CU25" s="18"/>
      <c r="CV25" s="18"/>
      <c r="CW25" s="18"/>
      <c r="CX25" s="18"/>
      <c r="CY25" s="18"/>
      <c r="CZ25" s="18"/>
      <c r="DD25" s="48"/>
      <c r="DE25" s="18"/>
      <c r="DF25" s="18"/>
      <c r="DG25" s="11">
        <f>-DK13-DK16-DK19</f>
        <v>-1.8759999999999999</v>
      </c>
      <c r="DH25" s="18"/>
      <c r="DI25" s="18"/>
      <c r="DJ25" s="18"/>
      <c r="DK25" s="18"/>
      <c r="DL25" s="18"/>
      <c r="DM25" s="18"/>
      <c r="DN25" s="18"/>
      <c r="DO25" s="18"/>
      <c r="DP25" s="25"/>
      <c r="DQ25" s="25"/>
      <c r="DR25" s="25"/>
      <c r="DS25" s="48"/>
      <c r="DT25" s="18"/>
      <c r="DU25" s="18"/>
      <c r="DV25" s="11">
        <f>-DZ13-DZ16-DZ19</f>
        <v>-1.8759999999999999</v>
      </c>
      <c r="DW25" s="18"/>
      <c r="DX25" s="18"/>
      <c r="DY25" s="18"/>
      <c r="DZ25" s="18"/>
      <c r="EA25" s="18"/>
      <c r="EB25" s="18"/>
      <c r="EC25" s="18"/>
      <c r="ED25" s="18"/>
      <c r="EE25" s="25"/>
      <c r="EF25" s="25"/>
      <c r="EG25" s="25"/>
      <c r="EZ25" s="33">
        <f>-(FB22+FH22)</f>
        <v>1.298</v>
      </c>
      <c r="FB25" s="33">
        <f>-FB22</f>
        <v>1.286</v>
      </c>
      <c r="FD25" s="33">
        <f>FD16</f>
        <v>0.375</v>
      </c>
      <c r="FF25" s="33">
        <f>FH16</f>
        <v>1.2E-2</v>
      </c>
      <c r="FH25" s="33">
        <f>FB25</f>
        <v>1.286</v>
      </c>
      <c r="FN25" s="33">
        <f>-(FP22+FV22)</f>
        <v>1.034</v>
      </c>
      <c r="FP25" s="33">
        <f>-FP22</f>
        <v>1.022</v>
      </c>
      <c r="FR25" s="33">
        <f>FR16</f>
        <v>0.375</v>
      </c>
      <c r="FT25" s="33">
        <f>FV16</f>
        <v>1.2E-2</v>
      </c>
      <c r="FV25" s="33">
        <f>FP25</f>
        <v>1.022</v>
      </c>
      <c r="GB25" s="33">
        <f>-(GD22+GJ22)</f>
        <v>0.89400000000000002</v>
      </c>
      <c r="GD25" s="33">
        <f>-GD22</f>
        <v>0.88200000000000001</v>
      </c>
      <c r="GF25" s="33">
        <f>GF16</f>
        <v>0.375</v>
      </c>
      <c r="GH25" s="33">
        <f>GJ16</f>
        <v>1.2E-2</v>
      </c>
      <c r="GJ25" s="33">
        <f>GD25</f>
        <v>0.88200000000000001</v>
      </c>
      <c r="GS25" s="48"/>
      <c r="GU25" s="48"/>
    </row>
    <row r="26" spans="1:206" ht="20" customHeight="1">
      <c r="A26" s="139"/>
      <c r="B26" s="147" t="str">
        <f t="shared" si="17"/>
        <v>Fz = avance/labio (mm/labio)</v>
      </c>
      <c r="C26" s="155">
        <f>AL28</f>
        <v>2.1000000000000001E-2</v>
      </c>
      <c r="D26" s="160"/>
      <c r="E26" s="148">
        <v>9</v>
      </c>
      <c r="F26" s="138" t="str">
        <f>IF(BC72=0,"",BC72)</f>
        <v/>
      </c>
      <c r="G26" s="135"/>
      <c r="I26" s="5"/>
      <c r="J26" s="34"/>
      <c r="K26" s="63"/>
      <c r="AA26" s="74"/>
      <c r="AD26" s="93"/>
      <c r="AF26" t="str">
        <f>TOOLS!W26</f>
        <v/>
      </c>
      <c r="AG26" s="25">
        <v>24</v>
      </c>
      <c r="AH26" s="6">
        <v>63</v>
      </c>
      <c r="AI26" s="8">
        <v>0.8</v>
      </c>
      <c r="AL26" s="11">
        <f>IF(AL29=1,AL23,IF(AL29=2,AL24,IF(AL29=3,AL25)))</f>
        <v>2.1000000000000001E-2</v>
      </c>
      <c r="AM26" s="11">
        <f>IF(AL29=1,AM23,IF(AL29=2,AM24,IF(AL29=3,AM25)))</f>
        <v>8.8168932792911714E-2</v>
      </c>
      <c r="AN26" s="14">
        <f t="shared" si="16"/>
        <v>6.2467261693518417</v>
      </c>
      <c r="AO26" s="11">
        <f t="shared" si="14"/>
        <v>2.8531167061100021E-2</v>
      </c>
      <c r="AQ26" s="7" t="s">
        <v>821</v>
      </c>
      <c r="AR26" s="10">
        <f>IF(AV42=2,AR25,AR23)</f>
        <v>6.8009478672985786</v>
      </c>
      <c r="AY26" s="33">
        <v>1000132</v>
      </c>
      <c r="AZ26" s="33">
        <f t="shared" si="11"/>
        <v>0</v>
      </c>
      <c r="BB26" s="39"/>
      <c r="BC26" s="44"/>
      <c r="BD26" s="44"/>
      <c r="BP26" s="43"/>
      <c r="CR26" s="25">
        <f>INT(CR25)</f>
        <v>20</v>
      </c>
      <c r="DD26" s="45"/>
      <c r="DE26"/>
      <c r="DF26"/>
      <c r="DG26" s="25">
        <f>INT(DG25)</f>
        <v>-2</v>
      </c>
      <c r="DH26"/>
      <c r="DI26"/>
      <c r="DJ26"/>
      <c r="DK26"/>
      <c r="DL26"/>
      <c r="DM26"/>
      <c r="DN26"/>
      <c r="DO26"/>
      <c r="DP26" s="25"/>
      <c r="DQ26" s="25"/>
      <c r="DR26" s="25"/>
      <c r="DV26" s="25">
        <f>INT(DV25)</f>
        <v>-2</v>
      </c>
      <c r="EE26" s="25"/>
      <c r="EF26" s="25"/>
      <c r="EG26" s="25"/>
      <c r="EZ26" s="25">
        <f>INT(EZ25)</f>
        <v>1</v>
      </c>
      <c r="FB26" s="25">
        <f>INT(FB25)</f>
        <v>1</v>
      </c>
      <c r="FD26" s="25">
        <f>INT(FD25)</f>
        <v>0</v>
      </c>
      <c r="FF26" s="25">
        <f>INT(FF25)</f>
        <v>0</v>
      </c>
      <c r="FH26" s="25">
        <f>INT(FH25)</f>
        <v>1</v>
      </c>
      <c r="FN26" s="25">
        <f>INT(FN25)</f>
        <v>1</v>
      </c>
      <c r="FP26" s="25">
        <f>INT(FP25)</f>
        <v>1</v>
      </c>
      <c r="FR26" s="25">
        <f>INT(FR25)</f>
        <v>0</v>
      </c>
      <c r="FT26" s="25">
        <f>INT(FT25)</f>
        <v>0</v>
      </c>
      <c r="FV26" s="25">
        <f>INT(FV25)</f>
        <v>1</v>
      </c>
      <c r="GB26" s="25">
        <f>INT(GB25)</f>
        <v>0</v>
      </c>
      <c r="GD26" s="25">
        <f>INT(GD25)</f>
        <v>0</v>
      </c>
      <c r="GF26" s="25">
        <f>INT(GF25)</f>
        <v>0</v>
      </c>
      <c r="GH26" s="25">
        <f>INT(GH25)</f>
        <v>0</v>
      </c>
      <c r="GJ26" s="25">
        <f>INT(GJ25)</f>
        <v>0</v>
      </c>
    </row>
    <row r="27" spans="1:206" ht="20" customHeight="1">
      <c r="A27" s="139"/>
      <c r="B27" s="147" t="str">
        <f t="shared" si="17"/>
        <v>Número de pasadas, radial (max 3)</v>
      </c>
      <c r="C27" s="153">
        <f>IF(AV42=2,1,AV30)</f>
        <v>1</v>
      </c>
      <c r="D27" s="152"/>
      <c r="E27" s="148">
        <v>10</v>
      </c>
      <c r="F27" s="138" t="str">
        <f>IF(BC75=0,"",BC75)</f>
        <v/>
      </c>
      <c r="G27" s="135"/>
      <c r="H27" s="59">
        <v>6</v>
      </c>
      <c r="I27" s="5" t="str">
        <f t="shared" si="15"/>
        <v>Acero, carbono bajo, &lt; 0,25% C, &lt; 400 N/mm2</v>
      </c>
      <c r="J27" s="5" t="s">
        <v>1883</v>
      </c>
      <c r="K27" s="63" t="s">
        <v>1026</v>
      </c>
      <c r="L27" s="5" t="s">
        <v>1100</v>
      </c>
      <c r="M27" s="5" t="s">
        <v>1241</v>
      </c>
      <c r="N27" s="5" t="s">
        <v>713</v>
      </c>
      <c r="O27" s="5" t="s">
        <v>830</v>
      </c>
      <c r="P27" t="s">
        <v>1717</v>
      </c>
      <c r="Q27" s="34" t="s">
        <v>337</v>
      </c>
      <c r="R27" s="5" t="s">
        <v>1170</v>
      </c>
      <c r="S27" s="5" t="s">
        <v>1780</v>
      </c>
      <c r="T27" s="5" t="s">
        <v>1253</v>
      </c>
      <c r="U27" s="34" t="s">
        <v>1491</v>
      </c>
      <c r="V27" s="5" t="s">
        <v>351</v>
      </c>
      <c r="W27" s="5" t="s">
        <v>1379</v>
      </c>
      <c r="X27" s="34" t="s">
        <v>666</v>
      </c>
      <c r="Y27" s="34" t="s">
        <v>85</v>
      </c>
      <c r="Z27" s="5" t="s">
        <v>741</v>
      </c>
      <c r="AA27" s="74" t="s">
        <v>1357</v>
      </c>
      <c r="AB27" s="88" t="s">
        <v>1370</v>
      </c>
      <c r="AC27" s="77" t="s">
        <v>486</v>
      </c>
      <c r="AD27" s="92" t="s">
        <v>111</v>
      </c>
      <c r="AE27" s="83" t="s">
        <v>156</v>
      </c>
      <c r="AF27" t="str">
        <f>TOOLS!W27</f>
        <v/>
      </c>
      <c r="AG27" s="25">
        <v>25</v>
      </c>
      <c r="AH27" s="6">
        <v>625</v>
      </c>
      <c r="AI27" s="8">
        <v>1.4</v>
      </c>
      <c r="AK27" s="7"/>
      <c r="AN27" s="14">
        <f t="shared" si="16"/>
        <v>6.933866047980545</v>
      </c>
      <c r="AO27" s="11">
        <f t="shared" si="14"/>
        <v>3.1384283767210024E-2</v>
      </c>
      <c r="AQ27" s="10"/>
      <c r="AR27" s="10">
        <f>ROUND(AR26,1)</f>
        <v>6.8</v>
      </c>
      <c r="AY27" s="33">
        <v>1001012</v>
      </c>
      <c r="AZ27" s="33">
        <f t="shared" si="11"/>
        <v>0</v>
      </c>
      <c r="BB27" s="39">
        <v>8</v>
      </c>
      <c r="BC27" s="44" t="str">
        <f>LOOKUP(AZ$54,BD$5:CN$5,BD27:CN27)</f>
        <v>G00 Z20.124</v>
      </c>
      <c r="BD27" s="44"/>
      <c r="BE27" s="43" t="str">
        <f>CONCATENATE(CP27,CQ27,CR27,CS27)</f>
        <v>G00 Z20.124</v>
      </c>
      <c r="BF27" s="43" t="str">
        <f>CONCATENATE(BB27,CP94,CQ94,CR94,CS94)</f>
        <v>8 CP IPA+360 IZ+1.5 DR+ F106</v>
      </c>
      <c r="BG27" s="43" t="str">
        <f>CONCATENATE(DE27,DF27,DG27,DH27)</f>
        <v>G00 Z-1.876</v>
      </c>
      <c r="BH27" s="43" t="str">
        <f>CONCATENATE(BB27,DE94,DF94,DG94,DH94)</f>
        <v>8 CP IPA+360 IZ+1.5 DR+ F88</v>
      </c>
      <c r="BI27" s="43" t="str">
        <f>CONCATENATE(DT27,DU27,DV27,DW27)</f>
        <v>G00 Z-1.876</v>
      </c>
      <c r="BJ27" s="43" t="str">
        <f>CONCATENATE(BB27,DT94,DU94,DV94,DW94)</f>
        <v>8 CP IPA+360 IZ+1.5 DR+ F78</v>
      </c>
      <c r="BK27" s="43" t="str">
        <f>BE18</f>
        <v>G03 X0. Y0. Z1.5 I-1.25 J0. F106</v>
      </c>
      <c r="BL27" s="43" t="str">
        <f>CONCATENATE(BB27,CP85,CQ85)</f>
        <v>8 CC IX+0 IY+0.625</v>
      </c>
      <c r="BM27" s="43" t="str">
        <f>BG18</f>
        <v>G03 X0. Y0. Z1.5 I-0.986 J0. F88</v>
      </c>
      <c r="BN27" s="43" t="str">
        <f>CONCATENATE(BB27,DE85,DF85)</f>
        <v>8 CC IX+0 IY+0.493</v>
      </c>
      <c r="BO27" s="4" t="str">
        <f>BI18</f>
        <v>G03 X0. Y0. Z1.5 I-0.846 J0. F78</v>
      </c>
      <c r="BP27" s="4" t="str">
        <f>CONCATENATE(BB27,DT85,DU85)</f>
        <v>8 CC IX+0 IY+0.423</v>
      </c>
      <c r="BQ27" s="4" t="str">
        <f>BE18</f>
        <v>G03 X0. Y0. Z1.5 I-1.25 J0. F106</v>
      </c>
      <c r="BR27" s="43" t="str">
        <f>CONCATENATE(BB27,EI85)</f>
        <v>8 FN 0: Q2 =+0</v>
      </c>
      <c r="BS27" s="43" t="str">
        <f>BG18</f>
        <v>G03 X0. Y0. Z1.5 I-0.986 J0. F88</v>
      </c>
      <c r="BT27" s="43" t="str">
        <f>BR27</f>
        <v>8 FN 0: Q2 =+0</v>
      </c>
      <c r="BU27" s="43" t="str">
        <f>BI18</f>
        <v>G03 X0. Y0. Z1.5 I-0.846 J0. F78</v>
      </c>
      <c r="BV27" s="125" t="str">
        <f>BR27</f>
        <v>8 FN 0: Q2 =+0</v>
      </c>
      <c r="BW27" s="43" t="str">
        <f>CONCATENATE(EX27,EY27,EZ27,FA27,FB27,FC27,FD27,FE27,FF27,FG27,FH27,FI27)</f>
        <v>G03 X1.298 Y1.286 Z0.375 I0.012 J1.286</v>
      </c>
      <c r="BX27" s="125" t="str">
        <f>CONCATENATE(BB27,CP100,FD18,CR100,C31)</f>
        <v>8 CP IPA+90 IZ+0.375 DR+ F106</v>
      </c>
      <c r="BY27" s="43" t="str">
        <f>CONCATENATE(FL27,FM27,FN27,FO27,FP27,FQ27,FR27,FS27,FT27,FU27,FV27,FW27)</f>
        <v>G03 X1.034 Y1.022 Z0.375 I0.012 J1.022</v>
      </c>
      <c r="BZ27" s="125" t="str">
        <f>CONCATENATE(BB27,CP100,FD18,CR100,AX62)</f>
        <v>8 CP IPA+90 IZ+0.375 DR+ F88</v>
      </c>
      <c r="CA27" s="43" t="str">
        <f>CONCATENATE(FZ27,GA27,GB27,GC27,GD27,GE27,GF27,GG27,GH27,GI27,GJ27,GK27)</f>
        <v>G03 X0.894 Y0.882 Z0.375 I0.012 J0.882</v>
      </c>
      <c r="CB27" s="125" t="str">
        <f>CONCATENATE(BB27,CP100,FD18,CR100,AX68)</f>
        <v>8 CP IPA+90 IZ+0.375 DR+ F78</v>
      </c>
      <c r="CC27" s="43" t="str">
        <f>CONCATENATE(CP24,CQ24,CR24,CS24,GN15,CU24,CV24)</f>
        <v>G01 G40 X-0.625 C-0.625</v>
      </c>
      <c r="CD27" s="43" t="str">
        <f>CONCATENATE(DE24,DF24,DG24,DH24,GP15,DJ24,DK24)</f>
        <v>G01 G40 X-0.493 C-0.493</v>
      </c>
      <c r="CE27" s="43" t="str">
        <f>CONCATENATE(DT24,DU24,DV24,DW24,GR15,DY24,DZ24)</f>
        <v>G01 G40 X-0.423 C-0.423</v>
      </c>
      <c r="CF27" s="43" t="str">
        <f>CC18</f>
        <v>G03 X0.625 C0.625 Z0.188 I0. J0.625</v>
      </c>
      <c r="CG27" s="43" t="str">
        <f>CD18</f>
        <v>G03 X0.493 C0.493 Z0.188 I0. J0.493</v>
      </c>
      <c r="CH27" s="43" t="str">
        <f>CE18</f>
        <v>G03 X0.423 C0.423 Z0.188 I0. J0.423</v>
      </c>
      <c r="CI27" s="43" t="str">
        <f>BQ24</f>
        <v>WHILE[#2LT#1]DO1</v>
      </c>
      <c r="CJ27" s="43" t="str">
        <f>CI27</f>
        <v>WHILE[#2LT#1]DO1</v>
      </c>
      <c r="CK27" s="43" t="str">
        <f>CJ27</f>
        <v>WHILE[#2LT#1]DO1</v>
      </c>
      <c r="CL27" s="43" t="str">
        <f>CONCATENATE(EX24,EY24,EZ24,GT27,FB24,FC24,FD24,FE24,FF24,FG24,FH24,FI24)</f>
        <v>G03 X1.274 C-1.286 Z0.375 I1.274 J-0.012</v>
      </c>
      <c r="CM27" s="43" t="str">
        <f>CONCATENATE(FL24,FM24,FN24,GV27,FP24,FQ24,FR24,FS24,FT24,FU24,FV24,FW24)</f>
        <v>G03 X1.01 C-1.022 Z0.375 I1.01 J-0.012</v>
      </c>
      <c r="CN27" s="43" t="str">
        <f>CONCATENATE(FZ24,GA24,GB24,GX27,GD24,GE24,GF24,GG24,GH24,GI24,GJ24,GK24)</f>
        <v>G03 X0.87 C-0.882 Z0.375 I0.87 J-0.012</v>
      </c>
      <c r="CO27" s="48">
        <v>8</v>
      </c>
      <c r="CP27" s="18" t="s">
        <v>565</v>
      </c>
      <c r="CQ27" s="18" t="s">
        <v>567</v>
      </c>
      <c r="CR27" s="18" t="str">
        <f>SUBSTITUTE(CR25,",",".")</f>
        <v>20.124</v>
      </c>
      <c r="CS27" s="18" t="str">
        <f>IF(CR25=CR26,".","")</f>
        <v/>
      </c>
      <c r="CT27" s="18"/>
      <c r="CU27" s="18"/>
      <c r="CV27" s="18"/>
      <c r="CW27" s="18"/>
      <c r="CX27" s="18"/>
      <c r="CY27" s="18"/>
      <c r="CZ27" s="18"/>
      <c r="DD27" s="48">
        <v>8</v>
      </c>
      <c r="DE27" s="18" t="s">
        <v>565</v>
      </c>
      <c r="DF27" s="18" t="s">
        <v>567</v>
      </c>
      <c r="DG27" s="18" t="str">
        <f>SUBSTITUTE(DG25,",",".")</f>
        <v>-1.876</v>
      </c>
      <c r="DH27" s="18" t="str">
        <f>IF(DG25=DG26,".","")</f>
        <v/>
      </c>
      <c r="DI27" s="18"/>
      <c r="DJ27" s="18"/>
      <c r="DK27" s="18"/>
      <c r="DL27" s="18"/>
      <c r="DM27" s="18"/>
      <c r="DN27" s="18"/>
      <c r="DO27" s="18"/>
      <c r="DP27" s="25"/>
      <c r="DQ27" s="25"/>
      <c r="DR27" s="25"/>
      <c r="DS27" s="48">
        <v>8</v>
      </c>
      <c r="DT27" s="18" t="s">
        <v>565</v>
      </c>
      <c r="DU27" s="18" t="s">
        <v>567</v>
      </c>
      <c r="DV27" s="18" t="str">
        <f>SUBSTITUTE(DV25,",",".")</f>
        <v>-1.876</v>
      </c>
      <c r="DW27" s="18" t="str">
        <f>IF(DV25=DV26,".","")</f>
        <v/>
      </c>
      <c r="DX27" s="18"/>
      <c r="DY27" s="18"/>
      <c r="DZ27" s="18"/>
      <c r="EA27" s="18"/>
      <c r="EB27" s="18"/>
      <c r="EC27" s="18"/>
      <c r="ED27" s="18"/>
      <c r="EE27" s="25"/>
      <c r="EF27" s="25"/>
      <c r="EG27" s="25"/>
      <c r="EW27" s="48">
        <v>8</v>
      </c>
      <c r="EX27" s="33" t="s">
        <v>571</v>
      </c>
      <c r="EY27" s="33" t="s">
        <v>570</v>
      </c>
      <c r="EZ27" s="18" t="str">
        <f>SUBSTITUTE(EZ25,",",".")</f>
        <v>1.298</v>
      </c>
      <c r="FA27" s="18" t="str">
        <f>IF(EZ25=EZ26,". Y"," Y")</f>
        <v xml:space="preserve"> Y</v>
      </c>
      <c r="FB27" s="18" t="str">
        <f>SUBSTITUTE(FB25,",",".")</f>
        <v>1.286</v>
      </c>
      <c r="FC27" s="18" t="str">
        <f>IF(FB25=FB26,". Z"," Z")</f>
        <v xml:space="preserve"> Z</v>
      </c>
      <c r="FD27" s="18" t="str">
        <f>SUBSTITUTE(FD25,",",".")</f>
        <v>0.375</v>
      </c>
      <c r="FE27" s="18" t="str">
        <f>IF(FD25=FD26,". I"," I")</f>
        <v xml:space="preserve"> I</v>
      </c>
      <c r="FF27" s="18" t="str">
        <f>SUBSTITUTE(FF25,",",".")</f>
        <v>0.012</v>
      </c>
      <c r="FG27" s="18" t="str">
        <f>IF(FF25=FF26,". J"," J")</f>
        <v xml:space="preserve"> J</v>
      </c>
      <c r="FH27" s="18" t="str">
        <f>SUBSTITUTE(FH25,",",".")</f>
        <v>1.286</v>
      </c>
      <c r="FI27" s="18" t="str">
        <f>IF(FH25=FH26,".","")</f>
        <v/>
      </c>
      <c r="FJ27" s="18"/>
      <c r="FK27" s="48">
        <v>8</v>
      </c>
      <c r="FL27" s="33" t="s">
        <v>571</v>
      </c>
      <c r="FM27" s="33" t="s">
        <v>570</v>
      </c>
      <c r="FN27" s="18" t="str">
        <f>SUBSTITUTE(FN25,",",".")</f>
        <v>1.034</v>
      </c>
      <c r="FO27" s="18" t="str">
        <f>IF(FN25=FN26,". Y"," Y")</f>
        <v xml:space="preserve"> Y</v>
      </c>
      <c r="FP27" s="18" t="str">
        <f>SUBSTITUTE(FP25,",",".")</f>
        <v>1.022</v>
      </c>
      <c r="FQ27" s="18" t="str">
        <f>IF(FP25=FP26,". Z"," Z")</f>
        <v xml:space="preserve"> Z</v>
      </c>
      <c r="FR27" s="18" t="str">
        <f>SUBSTITUTE(FR25,",",".")</f>
        <v>0.375</v>
      </c>
      <c r="FS27" s="18" t="str">
        <f>IF(FR25=FR26,". I"," I")</f>
        <v xml:space="preserve"> I</v>
      </c>
      <c r="FT27" s="18" t="str">
        <f>SUBSTITUTE(FT25,",",".")</f>
        <v>0.012</v>
      </c>
      <c r="FU27" s="18" t="str">
        <f>IF(FT25=FT26,". J"," J")</f>
        <v xml:space="preserve"> J</v>
      </c>
      <c r="FV27" s="18" t="str">
        <f>SUBSTITUTE(FV25,",",".")</f>
        <v>1.022</v>
      </c>
      <c r="FW27" s="18" t="str">
        <f>IF(FV25=FV26,".","")</f>
        <v/>
      </c>
      <c r="FX27" s="18"/>
      <c r="FY27" s="48">
        <v>8</v>
      </c>
      <c r="FZ27" s="33" t="s">
        <v>571</v>
      </c>
      <c r="GA27" s="33" t="s">
        <v>570</v>
      </c>
      <c r="GB27" s="18" t="str">
        <f>SUBSTITUTE(GB25,",",".")</f>
        <v>0.894</v>
      </c>
      <c r="GC27" s="18" t="str">
        <f>IF(GB25=GB26,". Y"," Y")</f>
        <v xml:space="preserve"> Y</v>
      </c>
      <c r="GD27" s="18" t="str">
        <f>SUBSTITUTE(GD25,",",".")</f>
        <v>0.882</v>
      </c>
      <c r="GE27" s="18" t="str">
        <f>IF(GD25=GD26,". Z"," Z")</f>
        <v xml:space="preserve"> Z</v>
      </c>
      <c r="GF27" s="18" t="str">
        <f>SUBSTITUTE(GF25,",",".")</f>
        <v>0.375</v>
      </c>
      <c r="GG27" s="18" t="str">
        <f>IF(GF25=GF26,". I"," I")</f>
        <v xml:space="preserve"> I</v>
      </c>
      <c r="GH27" s="18" t="str">
        <f>SUBSTITUTE(GH25,",",".")</f>
        <v>0.012</v>
      </c>
      <c r="GI27" s="18" t="str">
        <f>IF(GH25=GH26,". J"," J")</f>
        <v xml:space="preserve"> J</v>
      </c>
      <c r="GJ27" s="18" t="str">
        <f>SUBSTITUTE(GJ25,",",".")</f>
        <v>0.882</v>
      </c>
      <c r="GK27" s="18" t="str">
        <f>IF(GJ25=GJ26,".","")</f>
        <v/>
      </c>
      <c r="GL27" s="18"/>
      <c r="GS27" s="48">
        <v>8</v>
      </c>
      <c r="GT27" s="33" t="str">
        <f>IF(EZ22=EZ23,". C"," C")</f>
        <v xml:space="preserve"> C</v>
      </c>
      <c r="GU27" s="48">
        <v>8</v>
      </c>
      <c r="GV27" s="33" t="str">
        <f>IF(FN22=FN23,". C"," C")</f>
        <v xml:space="preserve"> C</v>
      </c>
      <c r="GW27" s="48">
        <v>8</v>
      </c>
      <c r="GX27" s="33" t="str">
        <f>IF(GB22=GB23,". C"," C")</f>
        <v xml:space="preserve"> C</v>
      </c>
    </row>
    <row r="28" spans="1:206" ht="20" customHeight="1">
      <c r="A28" s="139"/>
      <c r="B28" s="147" t="str">
        <f t="shared" si="17"/>
        <v>Número de pasadas, axial</v>
      </c>
      <c r="C28" s="156">
        <f>IF(AV42=2,AV48,AV9)</f>
        <v>1</v>
      </c>
      <c r="D28" s="135"/>
      <c r="E28" s="139"/>
      <c r="F28" s="138" t="str">
        <f>IF(BC78=0,"",BC78)</f>
        <v/>
      </c>
      <c r="G28" s="135"/>
      <c r="H28" t="s">
        <v>1872</v>
      </c>
      <c r="I28" s="5" t="str">
        <f t="shared" si="15"/>
        <v>Acero, carbono medio, &lt; 0,55% C, &lt; 700 N/mm2</v>
      </c>
      <c r="J28" s="5" t="s">
        <v>1884</v>
      </c>
      <c r="K28" s="63" t="s">
        <v>1061</v>
      </c>
      <c r="L28" s="5" t="s">
        <v>904</v>
      </c>
      <c r="M28" s="5" t="s">
        <v>1178</v>
      </c>
      <c r="N28" s="5" t="s">
        <v>926</v>
      </c>
      <c r="O28" s="5" t="s">
        <v>811</v>
      </c>
      <c r="P28" t="s">
        <v>1718</v>
      </c>
      <c r="Q28" s="34" t="s">
        <v>338</v>
      </c>
      <c r="R28" s="5" t="s">
        <v>1171</v>
      </c>
      <c r="S28" s="5" t="s">
        <v>1781</v>
      </c>
      <c r="T28" s="5" t="s">
        <v>1311</v>
      </c>
      <c r="U28" s="34" t="s">
        <v>1492</v>
      </c>
      <c r="V28" s="5" t="s">
        <v>352</v>
      </c>
      <c r="W28" s="5" t="s">
        <v>1380</v>
      </c>
      <c r="X28" s="34" t="s">
        <v>667</v>
      </c>
      <c r="Y28" s="34" t="s">
        <v>86</v>
      </c>
      <c r="Z28" s="5" t="s">
        <v>652</v>
      </c>
      <c r="AA28" s="74" t="s">
        <v>1452</v>
      </c>
      <c r="AB28" s="88" t="s">
        <v>1455</v>
      </c>
      <c r="AC28" s="77" t="s">
        <v>487</v>
      </c>
      <c r="AD28" s="92" t="s">
        <v>197</v>
      </c>
      <c r="AE28" s="83" t="s">
        <v>157</v>
      </c>
      <c r="AF28" t="str">
        <f>TOOLS!W28</f>
        <v/>
      </c>
      <c r="AG28" s="25">
        <v>26</v>
      </c>
      <c r="AH28" s="6">
        <v>525</v>
      </c>
      <c r="AI28" s="8">
        <v>1.3</v>
      </c>
      <c r="AK28" s="7" t="s">
        <v>660</v>
      </c>
      <c r="AL28" s="11">
        <f>IF(AZ8=1000,AM26,AL26)</f>
        <v>2.1000000000000001E-2</v>
      </c>
      <c r="AN28" s="14">
        <f t="shared" si="16"/>
        <v>7.6965913132584056</v>
      </c>
      <c r="AO28" s="11">
        <f t="shared" si="14"/>
        <v>3.4522712143931031E-2</v>
      </c>
      <c r="AR28" s="10">
        <f>ROUND(AR26,0)</f>
        <v>7</v>
      </c>
      <c r="AU28" s="7" t="s">
        <v>964</v>
      </c>
      <c r="AV28" s="28">
        <f>AL3*AQ78</f>
        <v>0.66912471719174882</v>
      </c>
      <c r="AY28" s="33">
        <v>1001022</v>
      </c>
      <c r="AZ28" s="33">
        <f t="shared" si="11"/>
        <v>0</v>
      </c>
      <c r="BB28" s="39"/>
      <c r="BP28" s="43"/>
      <c r="CO28" s="48"/>
      <c r="CP28" s="18"/>
      <c r="CQ28" s="18"/>
      <c r="CR28" s="18"/>
      <c r="CS28" s="18"/>
      <c r="CT28" s="18"/>
      <c r="CU28" s="18"/>
      <c r="CV28" s="18"/>
      <c r="CW28" s="18"/>
      <c r="CX28" s="18"/>
      <c r="CY28" s="18"/>
      <c r="CZ28" s="18"/>
      <c r="DD28" s="48"/>
      <c r="DE28" s="18"/>
      <c r="DF28" s="18"/>
      <c r="DG28" s="18"/>
      <c r="DH28" s="18"/>
      <c r="DI28" s="18"/>
      <c r="DJ28" s="18"/>
      <c r="DK28" s="18"/>
      <c r="DL28" s="18"/>
      <c r="DM28" s="18"/>
      <c r="DN28" s="18"/>
      <c r="DO28" s="18"/>
      <c r="DP28" s="18"/>
      <c r="DQ28" s="18"/>
      <c r="DR28" s="18"/>
      <c r="DS28" s="48"/>
      <c r="DT28" s="18"/>
      <c r="DU28" s="18"/>
      <c r="DV28" s="18"/>
      <c r="DW28" s="18">
        <f>AW69</f>
        <v>0.54500000000000004</v>
      </c>
      <c r="DX28" s="18"/>
      <c r="DY28" s="18">
        <f>-AW69</f>
        <v>-0.54500000000000004</v>
      </c>
      <c r="DZ28" s="18"/>
      <c r="EA28" s="18"/>
      <c r="EB28" s="18"/>
      <c r="EC28" s="18"/>
      <c r="ED28" s="18"/>
      <c r="EE28" s="25"/>
      <c r="EF28" s="25"/>
      <c r="EG28" s="25"/>
    </row>
    <row r="29" spans="1:206" ht="20" customHeight="1">
      <c r="A29" s="139"/>
      <c r="B29" s="147" t="str">
        <f t="shared" si="17"/>
        <v>N = velocidad de giro (v/min)</v>
      </c>
      <c r="C29" s="157">
        <f>ROUND(AK5*1000/(3.141592654*AK13),0)</f>
        <v>6706</v>
      </c>
      <c r="D29" s="135"/>
      <c r="E29" s="139"/>
      <c r="F29" s="138" t="str">
        <f>IF(BC81=0,"",BC81)</f>
        <v/>
      </c>
      <c r="G29" s="135"/>
      <c r="H29" t="s">
        <v>669</v>
      </c>
      <c r="I29" s="5" t="str">
        <f t="shared" si="15"/>
        <v>Acero, carbono alto, &lt; 0,85% C, &lt; 850 N/mm2</v>
      </c>
      <c r="J29" s="5" t="s">
        <v>1885</v>
      </c>
      <c r="K29" s="63" t="s">
        <v>1063</v>
      </c>
      <c r="L29" s="5" t="s">
        <v>1008</v>
      </c>
      <c r="M29" s="5" t="s">
        <v>1179</v>
      </c>
      <c r="N29" s="5" t="s">
        <v>771</v>
      </c>
      <c r="O29" s="5" t="s">
        <v>701</v>
      </c>
      <c r="P29" t="s">
        <v>1719</v>
      </c>
      <c r="Q29" s="34" t="s">
        <v>339</v>
      </c>
      <c r="R29" s="5" t="s">
        <v>1275</v>
      </c>
      <c r="S29" s="5" t="s">
        <v>1782</v>
      </c>
      <c r="T29" s="5" t="s">
        <v>1265</v>
      </c>
      <c r="U29" s="34" t="s">
        <v>1493</v>
      </c>
      <c r="V29" s="5" t="s">
        <v>353</v>
      </c>
      <c r="W29" s="5" t="s">
        <v>1494</v>
      </c>
      <c r="X29" s="34" t="s">
        <v>595</v>
      </c>
      <c r="Y29" s="34" t="s">
        <v>87</v>
      </c>
      <c r="Z29" s="5" t="s">
        <v>864</v>
      </c>
      <c r="AA29" s="74" t="s">
        <v>1358</v>
      </c>
      <c r="AB29" s="88" t="s">
        <v>1442</v>
      </c>
      <c r="AC29" s="77" t="s">
        <v>488</v>
      </c>
      <c r="AD29" s="92" t="s">
        <v>198</v>
      </c>
      <c r="AE29" s="83" t="s">
        <v>158</v>
      </c>
      <c r="AF29" t="str">
        <f>TOOLS!W29</f>
        <v/>
      </c>
      <c r="AG29" s="25">
        <v>27</v>
      </c>
      <c r="AH29" s="6">
        <v>360</v>
      </c>
      <c r="AI29" s="8">
        <v>1.2</v>
      </c>
      <c r="AK29" s="7" t="s">
        <v>809</v>
      </c>
      <c r="AL29" s="40">
        <f>IF(D27&gt;0,D27,C27)</f>
        <v>1</v>
      </c>
      <c r="AN29" s="14">
        <f t="shared" si="16"/>
        <v>8.5432163577168314</v>
      </c>
      <c r="AO29" s="11">
        <f t="shared" si="14"/>
        <v>3.7974983358324138E-2</v>
      </c>
      <c r="AR29" s="33"/>
      <c r="AY29" s="33">
        <v>1001032</v>
      </c>
      <c r="AZ29" s="33">
        <f t="shared" si="11"/>
        <v>0</v>
      </c>
      <c r="BB29" s="39"/>
      <c r="BP29" s="43"/>
      <c r="CO29" s="48"/>
      <c r="CP29" s="18"/>
      <c r="CQ29" s="18"/>
      <c r="CR29" s="18"/>
      <c r="CS29" s="18"/>
      <c r="CT29" s="18"/>
      <c r="CU29" s="18"/>
      <c r="CV29" s="18"/>
      <c r="CW29" s="18"/>
      <c r="CX29" s="18"/>
      <c r="CY29" s="18"/>
      <c r="CZ29" s="18"/>
      <c r="DD29" s="45"/>
      <c r="DE29" s="18"/>
      <c r="DF29" s="18"/>
      <c r="DG29" s="18"/>
      <c r="DH29" s="18"/>
      <c r="DI29" s="18"/>
      <c r="DJ29" s="18"/>
      <c r="DK29" s="18"/>
      <c r="DL29" s="18"/>
      <c r="DM29" s="18"/>
      <c r="DN29" s="18"/>
      <c r="DO29" s="18"/>
      <c r="DP29" s="18"/>
      <c r="DQ29" s="18"/>
      <c r="DR29" s="18"/>
      <c r="DW29" s="25">
        <f>INT(DW28)</f>
        <v>0</v>
      </c>
      <c r="DY29" s="25">
        <f>INT(DY28)</f>
        <v>-1</v>
      </c>
      <c r="EE29" s="25"/>
      <c r="EF29" s="25"/>
      <c r="EG29" s="25"/>
    </row>
    <row r="30" spans="1:206" ht="20" customHeight="1">
      <c r="A30" s="139"/>
      <c r="B30" s="147" t="str">
        <f t="shared" si="17"/>
        <v>FD = avance en Ø de la rosca (mm/min)</v>
      </c>
      <c r="C30" s="156">
        <f>ROUND(AL31*AK15*C29,0)</f>
        <v>422</v>
      </c>
      <c r="D30" s="135"/>
      <c r="E30" s="139"/>
      <c r="F30" s="138" t="str">
        <f>IF(BC84=0,"",BC84)</f>
        <v/>
      </c>
      <c r="G30" s="135"/>
      <c r="H30" t="s">
        <v>613</v>
      </c>
      <c r="I30" s="5" t="str">
        <f t="shared" si="15"/>
        <v>Acero, aleado bajo, &lt; 850 N/mm2</v>
      </c>
      <c r="J30" s="5" t="s">
        <v>1886</v>
      </c>
      <c r="K30" s="63" t="s">
        <v>1064</v>
      </c>
      <c r="L30" s="5" t="s">
        <v>925</v>
      </c>
      <c r="M30" s="5" t="s">
        <v>1180</v>
      </c>
      <c r="N30" s="5" t="s">
        <v>938</v>
      </c>
      <c r="O30" s="5" t="s">
        <v>702</v>
      </c>
      <c r="P30" t="s">
        <v>1720</v>
      </c>
      <c r="Q30" s="34" t="s">
        <v>340</v>
      </c>
      <c r="R30" s="5" t="s">
        <v>1276</v>
      </c>
      <c r="S30" s="5" t="s">
        <v>1783</v>
      </c>
      <c r="T30" s="5" t="s">
        <v>1266</v>
      </c>
      <c r="U30" s="34" t="s">
        <v>1497</v>
      </c>
      <c r="V30" s="5" t="s">
        <v>256</v>
      </c>
      <c r="W30" s="5" t="s">
        <v>1394</v>
      </c>
      <c r="X30" s="34" t="s">
        <v>596</v>
      </c>
      <c r="Y30" s="34" t="s">
        <v>88</v>
      </c>
      <c r="Z30" s="5" t="s">
        <v>801</v>
      </c>
      <c r="AA30" s="74" t="s">
        <v>1359</v>
      </c>
      <c r="AB30" s="88" t="s">
        <v>1443</v>
      </c>
      <c r="AC30" s="77" t="s">
        <v>489</v>
      </c>
      <c r="AD30" s="92" t="s">
        <v>112</v>
      </c>
      <c r="AE30" s="83" t="s">
        <v>159</v>
      </c>
      <c r="AF30" t="str">
        <f>TOOLS!W30</f>
        <v/>
      </c>
      <c r="AG30" s="25">
        <v>28</v>
      </c>
      <c r="AH30" s="6">
        <v>265</v>
      </c>
      <c r="AI30" s="8">
        <v>1.1000000000000001</v>
      </c>
      <c r="AN30" s="14">
        <f t="shared" si="16"/>
        <v>9.482970157065683</v>
      </c>
      <c r="AO30" s="11">
        <f t="shared" si="14"/>
        <v>4.1772481694156552E-2</v>
      </c>
      <c r="AQ30" s="7" t="s">
        <v>821</v>
      </c>
      <c r="AR30" s="20">
        <f>IF(AR26&gt;=10,AR28,AR27)</f>
        <v>6.8</v>
      </c>
      <c r="AU30" s="7" t="s">
        <v>657</v>
      </c>
      <c r="AV30" s="42">
        <f>LOOKUP(AV28,AV31:AV33,AU31:AU33)</f>
        <v>1</v>
      </c>
      <c r="AY30" s="33">
        <v>1010012</v>
      </c>
      <c r="AZ30" s="33">
        <f t="shared" si="11"/>
        <v>0</v>
      </c>
      <c r="BB30" s="39">
        <v>9</v>
      </c>
      <c r="BC30" s="44">
        <f>LOOKUP(AZ$54,BD$5:CN$5,BD30:CN30)</f>
        <v>0</v>
      </c>
      <c r="BD30" s="44"/>
      <c r="BF30" s="43" t="str">
        <f>CONCATENATE(BB30,CP97,CQ97,CR97)</f>
        <v>9 CC IX-0.625 IY+0</v>
      </c>
      <c r="BG30" s="43" t="str">
        <f>BE12</f>
        <v>G01 G41 X0.625 Y-0.625 F53</v>
      </c>
      <c r="BH30" s="43" t="str">
        <f>CONCATENATE(BB30,DE97,DF97,DG97)</f>
        <v>9 CC IX-0.493 IY+0</v>
      </c>
      <c r="BI30" s="43" t="str">
        <f>CONCATENATE(DT30,DU30,DV30,DW30,DX30,DY30,DZ30,EA30)</f>
        <v>G01 G41 X0.545 Y-0.545 F48</v>
      </c>
      <c r="BJ30" s="43" t="str">
        <f>CONCATENATE(BB30,DT97,DU97,DV97)</f>
        <v>9 CC IX-0.423 IY+0</v>
      </c>
      <c r="BK30" s="43" t="str">
        <f>BE21</f>
        <v>G03 X-0.625 Y0.625 Z0.188 I-0.625 J0. F530</v>
      </c>
      <c r="BL30" s="43" t="str">
        <f>CONCATENATE(BB30,CP88,CQ88,CR88)</f>
        <v>9 CP IPA+90 IZ+0.188 DR+</v>
      </c>
      <c r="BM30" s="43" t="str">
        <f>BG21</f>
        <v>G03 X-0.493 Y0.493 Z0.188 I-0.493 J0. F440</v>
      </c>
      <c r="BN30" s="43" t="str">
        <f>CONCATENATE(BB30,CP88,CQ88,CR88)</f>
        <v>9 CP IPA+90 IZ+0.188 DR+</v>
      </c>
      <c r="BO30" s="4" t="str">
        <f>BI21</f>
        <v>G03 X-0.423 Y0.423 Z0.188 I-0.423 J0. F390</v>
      </c>
      <c r="BP30" s="43" t="str">
        <f>CONCATENATE(BB30,CP88,CQ88,CR88)</f>
        <v>9 CP IPA+90 IZ+0.188 DR+</v>
      </c>
      <c r="BQ30" s="4" t="str">
        <f>BK39</f>
        <v>#2=#2+1</v>
      </c>
      <c r="BR30" s="43" t="str">
        <f>CONCATENATE(BB30,EI88)</f>
        <v>9 LBL 101</v>
      </c>
      <c r="BS30" s="43" t="str">
        <f>BQ30</f>
        <v>#2=#2+1</v>
      </c>
      <c r="BT30" s="43" t="str">
        <f>BR30</f>
        <v>9 LBL 101</v>
      </c>
      <c r="BU30" s="43" t="str">
        <f>BS30</f>
        <v>#2=#2+1</v>
      </c>
      <c r="BV30" s="125" t="str">
        <f>BR30</f>
        <v>9 LBL 101</v>
      </c>
      <c r="BW30" s="43" t="str">
        <f>BE21</f>
        <v>G03 X-0.625 Y0.625 Z0.188 I-0.625 J0. F530</v>
      </c>
      <c r="BX30" s="125" t="str">
        <f>CONCATENATE(BB30,CP91,FF21,CR82,FH21)</f>
        <v>9 CC IX-0.012 IY-1.262</v>
      </c>
      <c r="BY30" s="43" t="str">
        <f>BG21</f>
        <v>G03 X-0.493 Y0.493 Z0.188 I-0.493 J0. F440</v>
      </c>
      <c r="BZ30" s="125" t="str">
        <f>CONCATENATE(BB30,CP91,FT21,CR82,FV21)</f>
        <v>9 CC IX-0.012 IY-0.998</v>
      </c>
      <c r="CA30" s="43" t="str">
        <f>BI21</f>
        <v>G03 X-0.423 Y0.423 Z0.188 I-0.423 J0. F390</v>
      </c>
      <c r="CB30" s="125" t="str">
        <f>CONCATENATE(BB30,CP91,GH21,CR82,GJ21)</f>
        <v>9 CC IX-0.012 IY-0.858</v>
      </c>
      <c r="CC30" s="43" t="s">
        <v>694</v>
      </c>
      <c r="CD30" s="43" t="str">
        <f>BG27</f>
        <v>G00 Z-1.876</v>
      </c>
      <c r="CE30" s="43" t="str">
        <f>BG27</f>
        <v>G00 Z-1.876</v>
      </c>
      <c r="CF30" s="43" t="str">
        <f>CC21</f>
        <v>G03 X0. C0. Z1.5 I-1.25 J0. F106</v>
      </c>
      <c r="CG30" s="43" t="str">
        <f>CD21</f>
        <v>G03 X0. C0. Z1.5 I-0.986 J0. F88</v>
      </c>
      <c r="CH30" s="43" t="str">
        <f>CE21</f>
        <v>G03 X0. C0. Z1.5 I-0.846 J0. F78</v>
      </c>
      <c r="CI30" s="43" t="str">
        <f>CC21</f>
        <v>G03 X0. C0. Z1.5 I-1.25 J0. F106</v>
      </c>
      <c r="CJ30" s="43" t="str">
        <f>CD21</f>
        <v>G03 X0. C0. Z1.5 I-0.986 J0. F88</v>
      </c>
      <c r="CK30" s="43" t="str">
        <f>CE21</f>
        <v>G03 X0. C0. Z1.5 I-0.846 J0. F78</v>
      </c>
      <c r="CL30" s="43" t="str">
        <f>CONCATENATE(EX27,EY27,EZ27,GT30,FB27,FC27,FD27,FE27,FF27,FG27,FH27,FI27)</f>
        <v>G03 X1.298 C1.286 Z0.375 I0.012 J1.286</v>
      </c>
      <c r="CM30" s="43" t="str">
        <f>CONCATENATE(FL27,FM27,FN27,GV30,FP27,FQ27,FR27,FS27,FT27,FU27,FV27,FW27)</f>
        <v>G03 X1.034 C1.022 Z0.375 I0.012 J1.022</v>
      </c>
      <c r="CN30" s="43" t="str">
        <f>CONCATENATE(FZ27,GA27,GB27,GX30,GD27,GE27,GF27,GG27,GH27,GI27,GJ27,GK27)</f>
        <v>G03 X0.894 C0.882 Z0.375 I0.012 J0.882</v>
      </c>
      <c r="CO30" s="48"/>
      <c r="CP30" s="18"/>
      <c r="CQ30" s="18"/>
      <c r="CR30" s="18"/>
      <c r="CS30" s="18"/>
      <c r="CT30" s="18"/>
      <c r="CU30" s="18"/>
      <c r="CV30" s="18"/>
      <c r="CW30" s="18"/>
      <c r="CX30" s="18"/>
      <c r="CY30" s="18"/>
      <c r="CZ30" s="18"/>
      <c r="DD30" s="45"/>
      <c r="DE30" s="18"/>
      <c r="DF30" s="18"/>
      <c r="DG30" s="18"/>
      <c r="DH30" s="18"/>
      <c r="DI30" s="18"/>
      <c r="DJ30" s="18"/>
      <c r="DK30" s="18"/>
      <c r="DL30" s="18"/>
      <c r="DM30" s="18"/>
      <c r="DN30" s="18"/>
      <c r="DO30" s="18"/>
      <c r="DP30" s="18"/>
      <c r="DQ30" s="18"/>
      <c r="DR30" s="18"/>
      <c r="DS30" s="48">
        <v>9</v>
      </c>
      <c r="DT30" s="18" t="s">
        <v>568</v>
      </c>
      <c r="DU30" s="18" t="s">
        <v>569</v>
      </c>
      <c r="DV30" s="18" t="s">
        <v>570</v>
      </c>
      <c r="DW30" s="18" t="str">
        <f>SUBSTITUTE(DW28,",",".")</f>
        <v>0.545</v>
      </c>
      <c r="DX30" s="18" t="str">
        <f>IF(DW28=DW29,". Y"," Y")</f>
        <v xml:space="preserve"> Y</v>
      </c>
      <c r="DY30" s="18" t="str">
        <f>SUBSTITUTE(DY28,",",".")</f>
        <v>-0.545</v>
      </c>
      <c r="DZ30" s="18" t="str">
        <f>IF(DY28=DY29,". F"," F")</f>
        <v xml:space="preserve"> F</v>
      </c>
      <c r="EA30" s="6">
        <f>ROUND(AX69*0.5,0)</f>
        <v>48</v>
      </c>
      <c r="EB30" s="18"/>
      <c r="EC30" s="18"/>
      <c r="ED30" s="18"/>
      <c r="EE30" s="25"/>
      <c r="EF30" s="25"/>
      <c r="EG30" s="25"/>
      <c r="EW30" s="48"/>
      <c r="FK30" s="48"/>
      <c r="FY30" s="48"/>
      <c r="GS30" s="48">
        <v>9</v>
      </c>
      <c r="GT30" s="33" t="str">
        <f>IF(EZ25=EZ26,". C"," C")</f>
        <v xml:space="preserve"> C</v>
      </c>
      <c r="GU30" s="48">
        <v>9</v>
      </c>
      <c r="GV30" s="33" t="str">
        <f>IF(FN25=FN26,". C"," C")</f>
        <v xml:space="preserve"> C</v>
      </c>
      <c r="GW30" s="48">
        <v>9</v>
      </c>
      <c r="GX30" s="33" t="str">
        <f>IF(GB25=GB26,". C"," C")</f>
        <v xml:space="preserve"> C</v>
      </c>
    </row>
    <row r="31" spans="1:206" ht="20" customHeight="1">
      <c r="A31" s="139"/>
      <c r="B31" s="147" t="str">
        <f t="shared" si="17"/>
        <v>Fd = avance centro fresa (mm/min)</v>
      </c>
      <c r="C31" s="156">
        <f>ROUND(C30*(C14-AK13)/C14,0)</f>
        <v>106</v>
      </c>
      <c r="D31" s="135"/>
      <c r="E31" s="139"/>
      <c r="F31" s="138" t="str">
        <f>IF(BC87=0,"",BC87)</f>
        <v/>
      </c>
      <c r="G31" s="135"/>
      <c r="H31" t="s">
        <v>668</v>
      </c>
      <c r="I31" s="5" t="str">
        <f t="shared" si="15"/>
        <v>Acero, aleado alto, &lt; 1200 N/mm2</v>
      </c>
      <c r="J31" s="5" t="s">
        <v>1887</v>
      </c>
      <c r="K31" s="63" t="s">
        <v>1065</v>
      </c>
      <c r="L31" s="5" t="s">
        <v>922</v>
      </c>
      <c r="M31" s="5" t="s">
        <v>1116</v>
      </c>
      <c r="N31" s="5" t="s">
        <v>954</v>
      </c>
      <c r="O31" s="5" t="s">
        <v>1013</v>
      </c>
      <c r="P31" t="s">
        <v>1721</v>
      </c>
      <c r="Q31" s="34" t="s">
        <v>341</v>
      </c>
      <c r="R31" s="5" t="s">
        <v>1277</v>
      </c>
      <c r="S31" s="5" t="s">
        <v>1784</v>
      </c>
      <c r="T31" s="5" t="s">
        <v>1267</v>
      </c>
      <c r="U31" s="34" t="s">
        <v>1395</v>
      </c>
      <c r="V31" s="34" t="s">
        <v>257</v>
      </c>
      <c r="W31" s="5" t="s">
        <v>1398</v>
      </c>
      <c r="X31" s="34" t="s">
        <v>597</v>
      </c>
      <c r="Y31" s="34" t="s">
        <v>89</v>
      </c>
      <c r="Z31" s="5" t="s">
        <v>894</v>
      </c>
      <c r="AA31" s="74" t="s">
        <v>1360</v>
      </c>
      <c r="AB31" s="88" t="s">
        <v>1456</v>
      </c>
      <c r="AC31" s="77" t="s">
        <v>490</v>
      </c>
      <c r="AD31" s="92" t="s">
        <v>113</v>
      </c>
      <c r="AE31" s="83" t="s">
        <v>160</v>
      </c>
      <c r="AG31" s="25">
        <v>29</v>
      </c>
      <c r="AH31" s="6">
        <v>55</v>
      </c>
      <c r="AI31" s="8">
        <v>0.6</v>
      </c>
      <c r="AK31" s="7" t="s">
        <v>661</v>
      </c>
      <c r="AL31" s="12">
        <f>IF(D26&gt;0,D26,C26)</f>
        <v>2.1000000000000001E-2</v>
      </c>
      <c r="AN31" s="14">
        <f t="shared" si="16"/>
        <v>10.52609687434291</v>
      </c>
      <c r="AO31" s="11">
        <f t="shared" si="14"/>
        <v>4.5949729863572208E-2</v>
      </c>
      <c r="AU31" s="25">
        <v>3</v>
      </c>
      <c r="AV31" s="28">
        <v>0</v>
      </c>
      <c r="AY31" s="33">
        <v>1010022</v>
      </c>
      <c r="AZ31" s="33">
        <f t="shared" si="11"/>
        <v>0</v>
      </c>
      <c r="BB31" s="39"/>
      <c r="BP31" s="43"/>
      <c r="DD31" s="45"/>
      <c r="DE31" s="18"/>
      <c r="DF31" s="18"/>
      <c r="DG31" s="18"/>
      <c r="DH31" s="18"/>
      <c r="DI31" s="18"/>
      <c r="DJ31" s="18"/>
      <c r="DK31" s="18"/>
      <c r="DL31" s="18"/>
      <c r="DM31" s="18"/>
      <c r="DN31" s="18"/>
      <c r="DO31" s="18"/>
      <c r="DP31" s="18"/>
      <c r="DQ31" s="18"/>
      <c r="DR31" s="18"/>
      <c r="DS31" s="48"/>
      <c r="DT31" s="18"/>
      <c r="DU31" s="18"/>
      <c r="DV31" s="18">
        <f>AW69</f>
        <v>0.54500000000000004</v>
      </c>
      <c r="DW31" s="18"/>
      <c r="DX31" s="18">
        <f>AW69</f>
        <v>0.54500000000000004</v>
      </c>
      <c r="DY31" s="18"/>
      <c r="DZ31" s="18">
        <f>ROUND(AR6/8,3)</f>
        <v>0.188</v>
      </c>
      <c r="EA31" s="18"/>
      <c r="EB31" s="18"/>
      <c r="EC31" s="18"/>
      <c r="ED31" s="18">
        <f>AW69</f>
        <v>0.54500000000000004</v>
      </c>
      <c r="EE31" s="25"/>
      <c r="EF31" s="25"/>
      <c r="EG31" s="25"/>
      <c r="FA31" s="33">
        <f>-(AV57+(4*FH16))</f>
        <v>-0.67300000000000004</v>
      </c>
      <c r="FC31" s="33">
        <f>-AV57</f>
        <v>-0.625</v>
      </c>
      <c r="FO31" s="33">
        <f>-(AW62+(4*FV16))</f>
        <v>-0.54100000000000004</v>
      </c>
      <c r="FQ31" s="33">
        <f>-AW62</f>
        <v>-0.49299999999999999</v>
      </c>
      <c r="GC31" s="33">
        <f>-(AW68+(4*GJ16))</f>
        <v>-0.47099999999999997</v>
      </c>
      <c r="GE31" s="33">
        <f>-AW68</f>
        <v>-0.42299999999999999</v>
      </c>
    </row>
    <row r="32" spans="1:206" ht="20" customHeight="1">
      <c r="A32" s="139"/>
      <c r="B32" s="147" t="str">
        <f t="shared" si="17"/>
        <v>T = segundos para fresar la rosca</v>
      </c>
      <c r="C32" s="156">
        <f>AR30</f>
        <v>6.8</v>
      </c>
      <c r="D32" s="135"/>
      <c r="E32" s="139"/>
      <c r="F32" s="138" t="str">
        <f>IF(BC90=0,"",BC90)</f>
        <v/>
      </c>
      <c r="G32" s="135"/>
      <c r="H32" t="s">
        <v>614</v>
      </c>
      <c r="I32" s="5" t="str">
        <f t="shared" si="15"/>
        <v>Acero, templado, &lt; 45 HRC</v>
      </c>
      <c r="J32" s="5" t="s">
        <v>1888</v>
      </c>
      <c r="K32" s="63" t="s">
        <v>1066</v>
      </c>
      <c r="L32" s="5" t="s">
        <v>923</v>
      </c>
      <c r="M32" s="5" t="s">
        <v>1117</v>
      </c>
      <c r="N32" s="5" t="s">
        <v>942</v>
      </c>
      <c r="O32" s="5" t="s">
        <v>1014</v>
      </c>
      <c r="P32" t="s">
        <v>1722</v>
      </c>
      <c r="Q32" s="34" t="s">
        <v>342</v>
      </c>
      <c r="R32" s="5" t="s">
        <v>1278</v>
      </c>
      <c r="S32" s="5" t="s">
        <v>1785</v>
      </c>
      <c r="T32" s="5" t="s">
        <v>1183</v>
      </c>
      <c r="U32" s="34" t="s">
        <v>1396</v>
      </c>
      <c r="V32" s="5" t="s">
        <v>258</v>
      </c>
      <c r="W32" s="5" t="s">
        <v>1401</v>
      </c>
      <c r="X32" s="34" t="s">
        <v>598</v>
      </c>
      <c r="Y32" s="34" t="s">
        <v>4</v>
      </c>
      <c r="Z32" s="5" t="s">
        <v>802</v>
      </c>
      <c r="AA32" s="74" t="s">
        <v>1361</v>
      </c>
      <c r="AB32" s="88" t="s">
        <v>1457</v>
      </c>
      <c r="AC32" s="77" t="s">
        <v>491</v>
      </c>
      <c r="AD32" s="92" t="s">
        <v>114</v>
      </c>
      <c r="AE32" s="83" t="s">
        <v>172</v>
      </c>
      <c r="AG32" s="25">
        <v>30</v>
      </c>
      <c r="AH32" s="6">
        <v>360</v>
      </c>
      <c r="AI32" s="8">
        <v>1</v>
      </c>
      <c r="AN32" s="14">
        <f t="shared" si="16"/>
        <v>11.683967530520631</v>
      </c>
      <c r="AO32" s="11">
        <f t="shared" si="14"/>
        <v>5.0544702849929436E-2</v>
      </c>
      <c r="AU32" s="25">
        <v>2</v>
      </c>
      <c r="AV32" s="28">
        <v>0.35</v>
      </c>
      <c r="AY32" s="33">
        <v>1010032</v>
      </c>
      <c r="AZ32" s="33">
        <f t="shared" si="11"/>
        <v>0</v>
      </c>
      <c r="BB32" s="39"/>
      <c r="BP32" s="43"/>
      <c r="DD32" s="45"/>
      <c r="DE32" s="18"/>
      <c r="DF32" s="18"/>
      <c r="DG32" s="18"/>
      <c r="DH32" s="18"/>
      <c r="DI32" s="18"/>
      <c r="DJ32" s="18"/>
      <c r="DK32" s="18"/>
      <c r="DL32" s="18"/>
      <c r="DM32" s="18"/>
      <c r="DN32" s="18"/>
      <c r="DO32" s="18"/>
      <c r="DP32" s="18"/>
      <c r="DQ32" s="18"/>
      <c r="DR32" s="18"/>
      <c r="DS32" s="47"/>
      <c r="DT32" s="25"/>
      <c r="DU32" s="25"/>
      <c r="DV32" s="25">
        <f>INT(DV31)</f>
        <v>0</v>
      </c>
      <c r="DW32" s="25"/>
      <c r="DX32" s="25">
        <f>INT(DX31)</f>
        <v>0</v>
      </c>
      <c r="DY32" s="25"/>
      <c r="DZ32" s="25">
        <f>INT(DZ31)</f>
        <v>0</v>
      </c>
      <c r="EA32" s="25"/>
      <c r="EB32" s="25"/>
      <c r="EC32" s="25"/>
      <c r="ED32" s="25">
        <f>INT(ED31)</f>
        <v>0</v>
      </c>
      <c r="EE32" s="25"/>
      <c r="EF32" s="25"/>
      <c r="EG32" s="25"/>
      <c r="FA32" s="25">
        <f>INT(FA31)</f>
        <v>-1</v>
      </c>
      <c r="FC32" s="25">
        <f>INT(FC31)</f>
        <v>-1</v>
      </c>
      <c r="FO32" s="25">
        <f>INT(FO31)</f>
        <v>-1</v>
      </c>
      <c r="FQ32" s="25">
        <f>INT(FQ31)</f>
        <v>-1</v>
      </c>
      <c r="GC32" s="25">
        <f>INT(GC31)</f>
        <v>-1</v>
      </c>
      <c r="GE32" s="25">
        <f>INT(GE31)</f>
        <v>-1</v>
      </c>
    </row>
    <row r="33" spans="1:206" ht="20" customHeight="1">
      <c r="A33" s="139"/>
      <c r="B33" s="138"/>
      <c r="C33" s="139"/>
      <c r="D33" s="139"/>
      <c r="E33" s="139"/>
      <c r="F33" s="138" t="str">
        <f>IF(BC93=0,"",BC93)</f>
        <v/>
      </c>
      <c r="G33" s="135"/>
      <c r="H33" t="s">
        <v>929</v>
      </c>
      <c r="I33" s="5" t="str">
        <f t="shared" si="15"/>
        <v>Acero, templado, &lt; 55 HRC</v>
      </c>
      <c r="J33" s="5" t="s">
        <v>1889</v>
      </c>
      <c r="K33" s="63" t="s">
        <v>1067</v>
      </c>
      <c r="L33" s="5" t="s">
        <v>924</v>
      </c>
      <c r="M33" s="5" t="s">
        <v>1107</v>
      </c>
      <c r="N33" s="5" t="s">
        <v>943</v>
      </c>
      <c r="O33" s="5" t="s">
        <v>651</v>
      </c>
      <c r="P33" t="s">
        <v>1723</v>
      </c>
      <c r="Q33" s="34" t="s">
        <v>343</v>
      </c>
      <c r="R33" s="5" t="s">
        <v>1279</v>
      </c>
      <c r="S33" s="5" t="s">
        <v>1786</v>
      </c>
      <c r="T33" s="5" t="s">
        <v>1184</v>
      </c>
      <c r="U33" s="34" t="s">
        <v>1397</v>
      </c>
      <c r="V33" s="34" t="s">
        <v>259</v>
      </c>
      <c r="W33" s="5" t="s">
        <v>1402</v>
      </c>
      <c r="X33" s="34" t="s">
        <v>599</v>
      </c>
      <c r="Y33" s="34" t="s">
        <v>5</v>
      </c>
      <c r="Z33" s="5" t="s">
        <v>803</v>
      </c>
      <c r="AA33" s="74" t="s">
        <v>1362</v>
      </c>
      <c r="AB33" s="88" t="s">
        <v>1541</v>
      </c>
      <c r="AC33" s="77" t="s">
        <v>407</v>
      </c>
      <c r="AD33" s="92" t="s">
        <v>115</v>
      </c>
      <c r="AE33" s="83" t="s">
        <v>173</v>
      </c>
      <c r="AN33" s="14">
        <f t="shared" si="16"/>
        <v>12.969203958877902</v>
      </c>
      <c r="AO33" s="11">
        <f t="shared" si="14"/>
        <v>5.5599173134922387E-2</v>
      </c>
      <c r="AU33" s="25">
        <v>1</v>
      </c>
      <c r="AV33" s="28">
        <v>0.55000000000000004</v>
      </c>
      <c r="AY33" s="33">
        <v>1010111</v>
      </c>
      <c r="AZ33" s="33">
        <f t="shared" si="11"/>
        <v>0</v>
      </c>
      <c r="BB33" s="39">
        <v>10</v>
      </c>
      <c r="BC33" s="44">
        <f>LOOKUP(AZ$54,BD$5:CN$5,BD33:CN33)</f>
        <v>0</v>
      </c>
      <c r="BD33" s="44"/>
      <c r="BF33" s="43" t="str">
        <f>CONCATENATE(BB33,CP100,CQ100,CR100,CS100)</f>
        <v>10 CP IPA+90 IZ+0.188 DR+ F530</v>
      </c>
      <c r="BG33" s="43" t="str">
        <f>BE15</f>
        <v>G03 X0.625 Y0.625 Z0.188 I0. J0.625</v>
      </c>
      <c r="BH33" s="43" t="str">
        <f>CONCATENATE(BB33,DE100,DF100,DG100,DH100)</f>
        <v>10 CP IPA+90 IZ+0.188 DR+ F440</v>
      </c>
      <c r="BI33" s="43" t="str">
        <f>CONCATENATE(DT33,DU33,DV33,DW33,DX33,DY33,DZ33,EA33,EB33,EC33,ED33,EE33)</f>
        <v>G03 X0.545 Y0.545 Z0.188 I0. J0.545</v>
      </c>
      <c r="BJ33" s="43" t="str">
        <f>CONCATENATE(BB33,DT100,DU100,DV100,DW100)</f>
        <v>10 CP IPA+90 IZ+0.188 DR+ F390</v>
      </c>
      <c r="BK33" s="43" t="str">
        <f>BE24</f>
        <v>G01 G40 X-0.625 Y-0.625</v>
      </c>
      <c r="BL33" s="43" t="str">
        <f>CONCATENATE(BB33,CP91,CQ91,CR91)</f>
        <v>10 CC IX-1.25 IY+0</v>
      </c>
      <c r="BM33" s="43" t="str">
        <f>BG24</f>
        <v>G01 G40 X-0.493 Y-0.493</v>
      </c>
      <c r="BN33" s="43" t="str">
        <f>CONCATENATE(BB33,DE91,DF91,DG91)</f>
        <v>10 CC IX-0.986 IY+0</v>
      </c>
      <c r="BO33" s="4" t="str">
        <f>BI24</f>
        <v>G01 G40 X-0.423 Y-0.423</v>
      </c>
      <c r="BP33" s="43" t="str">
        <f>CONCATENATE(BB33,DT91,DU91,DV91)</f>
        <v>10 CC IX-0.846 IY+0</v>
      </c>
      <c r="BQ33" s="4" t="str">
        <f>BK42</f>
        <v>END1</v>
      </c>
      <c r="BR33" s="43" t="str">
        <f>BL33</f>
        <v>10 CC IX-1.25 IY+0</v>
      </c>
      <c r="BS33" s="43" t="str">
        <f>BQ33</f>
        <v>END1</v>
      </c>
      <c r="BT33" s="43" t="str">
        <f>CONCATENATE(BB33,DE91,DF91,DG91)</f>
        <v>10 CC IX-0.986 IY+0</v>
      </c>
      <c r="BU33" s="43" t="str">
        <f>BS33</f>
        <v>END1</v>
      </c>
      <c r="BV33" s="125" t="str">
        <f>BP33</f>
        <v>10 CC IX-0.846 IY+0</v>
      </c>
      <c r="BW33" s="43" t="str">
        <f>CONCATENATE(EX33,EY33,EZ33,FA33,FB33,FC33,FD33)</f>
        <v>G01 G40 X-0.673 Y-0.625</v>
      </c>
      <c r="BX33" s="125" t="str">
        <f>CONCATENATE(BB33,CP88,FD21,CR88)</f>
        <v>10 CP IPA+90 IZ+0.375 DR+</v>
      </c>
      <c r="BY33" s="43" t="str">
        <f>CONCATENATE(FL33,FM33,FN33,FO33,FP33,FQ33,FR33)</f>
        <v>G01 G40 X-0.541 Y-0.493</v>
      </c>
      <c r="BZ33" s="125" t="str">
        <f>BX33</f>
        <v>10 CP IPA+90 IZ+0.375 DR+</v>
      </c>
      <c r="CA33" s="43" t="str">
        <f>CONCATENATE(FZ33,GA33,GB33,GC33,GD33,GE33,GF33)</f>
        <v>G01 G40 X-0.471 Y-0.423</v>
      </c>
      <c r="CB33" s="125" t="str">
        <f>BZ33</f>
        <v>10 CP IPA+90 IZ+0.375 DR+</v>
      </c>
      <c r="CC33" s="43" t="str">
        <f>BE27</f>
        <v>G00 Z20.124</v>
      </c>
      <c r="CD33" s="43" t="str">
        <f>CC15</f>
        <v>G01 G41 X0.625 C-0.625 F53</v>
      </c>
      <c r="CE33" s="43" t="str">
        <f>CONCATENATE(DT30,DU30,DV30,DW30,GR33,DY30,DZ30,EA30)</f>
        <v>G01 G41 X0.545 C-0.545 F48</v>
      </c>
      <c r="CF33" s="43" t="str">
        <f>CC24</f>
        <v>G03 X-0.625 C0.625 Z0.188 I-0.625 J0. F530</v>
      </c>
      <c r="CG33" s="43" t="str">
        <f>CD24</f>
        <v>G03 X-0.493 C0.493 Z0.188 I-0.493 J0. F440</v>
      </c>
      <c r="CH33" s="43" t="str">
        <f>CE24</f>
        <v>G03 X-0.423 C0.423 Z0.188 I-0.423 J0. F390</v>
      </c>
      <c r="CI33" s="43" t="str">
        <f>BQ30</f>
        <v>#2=#2+1</v>
      </c>
      <c r="CJ33" s="43" t="str">
        <f>CI33</f>
        <v>#2=#2+1</v>
      </c>
      <c r="CK33" s="43" t="str">
        <f>CJ33</f>
        <v>#2=#2+1</v>
      </c>
      <c r="CL33" s="43" t="str">
        <f>CC24</f>
        <v>G03 X-0.625 C0.625 Z0.188 I-0.625 J0. F530</v>
      </c>
      <c r="CM33" s="43" t="str">
        <f>CD24</f>
        <v>G03 X-0.493 C0.493 Z0.188 I-0.493 J0. F440</v>
      </c>
      <c r="CN33" s="43" t="str">
        <f>CE24</f>
        <v>G03 X-0.423 C0.423 Z0.188 I-0.423 J0. F390</v>
      </c>
      <c r="DD33" s="45"/>
      <c r="DE33" s="18"/>
      <c r="DF33" s="18"/>
      <c r="DG33" s="18"/>
      <c r="DH33" s="18"/>
      <c r="DI33" s="18"/>
      <c r="DJ33" s="18"/>
      <c r="DK33" s="18"/>
      <c r="DL33" s="18"/>
      <c r="DM33" s="18"/>
      <c r="DN33" s="18"/>
      <c r="DO33" s="18"/>
      <c r="DP33" s="18"/>
      <c r="DQ33" s="18"/>
      <c r="DR33" s="18"/>
      <c r="DS33" s="48">
        <v>10</v>
      </c>
      <c r="DT33" s="18" t="s">
        <v>571</v>
      </c>
      <c r="DU33" s="18" t="s">
        <v>570</v>
      </c>
      <c r="DV33" s="18" t="str">
        <f>SUBSTITUTE(DV31,",",".")</f>
        <v>0.545</v>
      </c>
      <c r="DW33" s="18" t="str">
        <f>IF(DV31=DV32,". Y"," Y")</f>
        <v xml:space="preserve"> Y</v>
      </c>
      <c r="DX33" s="18" t="str">
        <f>SUBSTITUTE(DX31,",",".")</f>
        <v>0.545</v>
      </c>
      <c r="DY33" s="18" t="str">
        <f>IF(DX31=DX32,". Z"," Z")</f>
        <v xml:space="preserve"> Z</v>
      </c>
      <c r="DZ33" s="18" t="str">
        <f>SUBSTITUTE(DZ31,",",".")</f>
        <v>0.188</v>
      </c>
      <c r="EA33" s="18" t="str">
        <f>IF(DZ31=DZ32,". I"," I")</f>
        <v xml:space="preserve"> I</v>
      </c>
      <c r="EB33" s="18">
        <v>0</v>
      </c>
      <c r="EC33" s="18" t="s">
        <v>575</v>
      </c>
      <c r="ED33" s="18" t="str">
        <f>SUBSTITUTE(ED31,",",".")</f>
        <v>0.545</v>
      </c>
      <c r="EE33" s="18" t="str">
        <f>IF(ED31=ED32,".","")</f>
        <v/>
      </c>
      <c r="EF33" s="18"/>
      <c r="EG33" s="18"/>
      <c r="EW33" s="48">
        <v>10</v>
      </c>
      <c r="EX33" s="33" t="s">
        <v>568</v>
      </c>
      <c r="EY33" s="33" t="s">
        <v>562</v>
      </c>
      <c r="EZ33" s="33" t="s">
        <v>570</v>
      </c>
      <c r="FA33" s="18" t="str">
        <f>SUBSTITUTE(FA31,",",".")</f>
        <v>-0.673</v>
      </c>
      <c r="FB33" s="18" t="str">
        <f>IF(FA31=FA32,". Y"," Y")</f>
        <v xml:space="preserve"> Y</v>
      </c>
      <c r="FC33" s="18" t="str">
        <f>SUBSTITUTE(FC31,",",".")</f>
        <v>-0.625</v>
      </c>
      <c r="FD33" s="18" t="str">
        <f>IF(FC31=FC32,".","")</f>
        <v/>
      </c>
      <c r="FK33" s="48">
        <v>10</v>
      </c>
      <c r="FL33" s="33" t="s">
        <v>568</v>
      </c>
      <c r="FM33" s="33" t="s">
        <v>562</v>
      </c>
      <c r="FN33" s="33" t="s">
        <v>570</v>
      </c>
      <c r="FO33" s="18" t="str">
        <f>SUBSTITUTE(FO31,",",".")</f>
        <v>-0.541</v>
      </c>
      <c r="FP33" s="18" t="str">
        <f>IF(FO31=FO32,". Y"," Y")</f>
        <v xml:space="preserve"> Y</v>
      </c>
      <c r="FQ33" s="18" t="str">
        <f>SUBSTITUTE(FQ31,",",".")</f>
        <v>-0.493</v>
      </c>
      <c r="FR33" s="18" t="str">
        <f>IF(FQ31=FQ32,".","")</f>
        <v/>
      </c>
      <c r="FY33" s="48">
        <v>10</v>
      </c>
      <c r="FZ33" s="33" t="s">
        <v>568</v>
      </c>
      <c r="GA33" s="33" t="s">
        <v>562</v>
      </c>
      <c r="GB33" s="33" t="s">
        <v>570</v>
      </c>
      <c r="GC33" s="18" t="str">
        <f>SUBSTITUTE(GC31,",",".")</f>
        <v>-0.471</v>
      </c>
      <c r="GD33" s="18" t="str">
        <f>IF(GC31=GC32,". Y"," Y")</f>
        <v xml:space="preserve"> Y</v>
      </c>
      <c r="GE33" s="18" t="str">
        <f>SUBSTITUTE(GE31,",",".")</f>
        <v>-0.423</v>
      </c>
      <c r="GF33" s="18" t="str">
        <f>IF(GE31=GE32,".","")</f>
        <v/>
      </c>
      <c r="GQ33" s="48">
        <v>10</v>
      </c>
      <c r="GR33" s="33" t="str">
        <f>IF(DW28=DW29,". C"," C")</f>
        <v xml:space="preserve"> C</v>
      </c>
      <c r="GS33" s="48"/>
      <c r="GU33" s="48"/>
      <c r="GW33" s="48"/>
    </row>
    <row r="34" spans="1:206" ht="20" customHeight="1">
      <c r="A34" s="139"/>
      <c r="B34" s="142" t="str">
        <f>I93</f>
        <v>Leer antes de usar</v>
      </c>
      <c r="C34" s="149"/>
      <c r="D34" s="139"/>
      <c r="E34" s="139"/>
      <c r="F34" s="138" t="str">
        <f>IF(BC96=0,"",BC96)</f>
        <v/>
      </c>
      <c r="G34" s="135"/>
      <c r="H34" t="s">
        <v>1706</v>
      </c>
      <c r="I34" s="5" t="str">
        <f t="shared" si="15"/>
        <v>Acero, templado, &lt; 65 HRC</v>
      </c>
      <c r="J34" s="5" t="s">
        <v>1890</v>
      </c>
      <c r="K34" s="63" t="s">
        <v>1068</v>
      </c>
      <c r="L34" s="5" t="s">
        <v>1060</v>
      </c>
      <c r="M34" s="5" t="s">
        <v>1108</v>
      </c>
      <c r="N34" s="5" t="s">
        <v>664</v>
      </c>
      <c r="O34" s="5" t="s">
        <v>738</v>
      </c>
      <c r="P34" t="s">
        <v>1724</v>
      </c>
      <c r="Q34" s="34" t="s">
        <v>344</v>
      </c>
      <c r="R34" s="5" t="s">
        <v>1349</v>
      </c>
      <c r="S34" s="5" t="s">
        <v>1787</v>
      </c>
      <c r="T34" s="5" t="s">
        <v>1317</v>
      </c>
      <c r="U34" s="34" t="s">
        <v>1399</v>
      </c>
      <c r="V34" s="34" t="s">
        <v>260</v>
      </c>
      <c r="W34" s="5" t="s">
        <v>1403</v>
      </c>
      <c r="X34" s="34" t="s">
        <v>600</v>
      </c>
      <c r="Y34" s="34" t="s">
        <v>6</v>
      </c>
      <c r="Z34" s="5" t="s">
        <v>804</v>
      </c>
      <c r="AA34" s="74" t="s">
        <v>1407</v>
      </c>
      <c r="AB34" s="88" t="s">
        <v>1542</v>
      </c>
      <c r="AC34" s="77" t="s">
        <v>411</v>
      </c>
      <c r="AD34" s="92" t="s">
        <v>116</v>
      </c>
      <c r="AE34" s="83" t="s">
        <v>174</v>
      </c>
      <c r="AN34" s="14">
        <f t="shared" si="16"/>
        <v>14.395816394354473</v>
      </c>
      <c r="AO34" s="11">
        <f t="shared" si="14"/>
        <v>6.1159090448414631E-2</v>
      </c>
      <c r="AY34" s="33">
        <v>1010112</v>
      </c>
      <c r="AZ34" s="33">
        <f t="shared" si="11"/>
        <v>0</v>
      </c>
      <c r="BB34" s="39"/>
      <c r="BP34" s="43"/>
      <c r="DD34" s="45"/>
      <c r="DE34" s="18"/>
      <c r="DF34" s="18"/>
      <c r="DG34" s="18"/>
      <c r="DH34" s="18"/>
      <c r="DI34" s="18"/>
      <c r="DJ34" s="18"/>
      <c r="DK34" s="18"/>
      <c r="DL34" s="18"/>
      <c r="DM34" s="18"/>
      <c r="DN34" s="18"/>
      <c r="DO34" s="18"/>
      <c r="DP34" s="18"/>
      <c r="DQ34" s="18"/>
      <c r="DR34" s="18"/>
      <c r="DS34" s="48"/>
      <c r="DT34" s="18"/>
      <c r="DU34" s="18"/>
      <c r="DV34" s="18"/>
      <c r="DW34" s="18"/>
      <c r="DX34" s="18"/>
      <c r="DY34" s="18"/>
      <c r="DZ34" s="11">
        <f>AR6</f>
        <v>1.5</v>
      </c>
      <c r="EA34" s="18"/>
      <c r="EB34" s="18">
        <f>-(2*AW69)</f>
        <v>-1.0900000000000001</v>
      </c>
      <c r="EC34" s="18"/>
      <c r="ED34" s="18"/>
      <c r="EE34" s="25"/>
      <c r="EF34" s="25"/>
      <c r="EG34" s="25"/>
      <c r="EH34" s="48"/>
      <c r="EI34" s="120"/>
      <c r="EJ34" s="120"/>
      <c r="EK34" s="122">
        <f>AV7-(AR6*1.25)</f>
        <v>19.125</v>
      </c>
    </row>
    <row r="35" spans="1:206" ht="20" customHeight="1">
      <c r="A35" s="139"/>
      <c r="B35" s="139"/>
      <c r="C35" s="139"/>
      <c r="D35" s="139"/>
      <c r="E35" s="139"/>
      <c r="F35" s="138" t="str">
        <f>IF(BC99=0,"",BC99)</f>
        <v/>
      </c>
      <c r="G35" s="135"/>
      <c r="H35" t="s">
        <v>680</v>
      </c>
      <c r="I35" s="5" t="str">
        <f t="shared" si="15"/>
        <v>Hierro fundido, lámina de grafito, &lt; 500 N/mm2</v>
      </c>
      <c r="J35" s="5" t="s">
        <v>1891</v>
      </c>
      <c r="K35" s="63" t="s">
        <v>1069</v>
      </c>
      <c r="L35" s="5" t="s">
        <v>827</v>
      </c>
      <c r="M35" s="5" t="s">
        <v>1109</v>
      </c>
      <c r="N35" s="5" t="s">
        <v>788</v>
      </c>
      <c r="O35" s="5" t="s">
        <v>883</v>
      </c>
      <c r="P35" t="s">
        <v>1725</v>
      </c>
      <c r="Q35" s="34" t="s">
        <v>345</v>
      </c>
      <c r="R35" s="5" t="s">
        <v>1234</v>
      </c>
      <c r="S35" s="5" t="s">
        <v>1788</v>
      </c>
      <c r="T35" s="5" t="s">
        <v>1233</v>
      </c>
      <c r="U35" s="34" t="s">
        <v>1400</v>
      </c>
      <c r="V35" s="34" t="s">
        <v>261</v>
      </c>
      <c r="W35" s="5" t="s">
        <v>1404</v>
      </c>
      <c r="X35" s="34" t="s">
        <v>601</v>
      </c>
      <c r="Y35" s="34" t="s">
        <v>7</v>
      </c>
      <c r="Z35" s="5" t="s">
        <v>974</v>
      </c>
      <c r="AA35" s="74" t="s">
        <v>1408</v>
      </c>
      <c r="AB35" s="88" t="s">
        <v>1543</v>
      </c>
      <c r="AC35" s="77" t="s">
        <v>412</v>
      </c>
      <c r="AD35" s="92" t="s">
        <v>117</v>
      </c>
      <c r="AE35" s="83" t="s">
        <v>302</v>
      </c>
      <c r="AN35" s="14">
        <f t="shared" si="16"/>
        <v>15.979356197733466</v>
      </c>
      <c r="AO35" s="11">
        <f t="shared" si="14"/>
        <v>6.7274999493256105E-2</v>
      </c>
      <c r="AY35" s="33">
        <v>1010121</v>
      </c>
      <c r="AZ35" s="33">
        <f t="shared" si="11"/>
        <v>0</v>
      </c>
      <c r="BB35" s="39"/>
      <c r="BP35" s="43"/>
      <c r="CY35" s="18"/>
      <c r="DD35" s="45"/>
      <c r="DE35" s="18"/>
      <c r="DF35" s="18"/>
      <c r="DG35" s="18"/>
      <c r="DH35" s="18"/>
      <c r="DI35" s="18"/>
      <c r="DJ35" s="18"/>
      <c r="DK35" s="18"/>
      <c r="DL35" s="18"/>
      <c r="DM35" s="18"/>
      <c r="DN35" s="18"/>
      <c r="DO35" s="18"/>
      <c r="DP35" s="18"/>
      <c r="DQ35" s="18"/>
      <c r="DR35" s="18"/>
      <c r="DZ35" s="25">
        <f>INT(DZ34)</f>
        <v>1</v>
      </c>
      <c r="EB35" s="25">
        <f>INT(EB34)</f>
        <v>-2</v>
      </c>
      <c r="EE35" s="25"/>
      <c r="EF35" s="25"/>
      <c r="EG35" s="25"/>
      <c r="EI35" s="120"/>
      <c r="EJ35" s="120"/>
      <c r="EK35" s="119">
        <f>INT(EK34)</f>
        <v>19</v>
      </c>
    </row>
    <row r="36" spans="1:206" ht="20" customHeight="1">
      <c r="F36" s="161" t="str">
        <f>IF(BC102=0,"",BC102)</f>
        <v/>
      </c>
      <c r="H36" t="s">
        <v>681</v>
      </c>
      <c r="I36" s="5" t="str">
        <f t="shared" si="15"/>
        <v>Hierro fundido, lámina de grafito, &lt; 1000 N/mm2</v>
      </c>
      <c r="J36" s="5" t="s">
        <v>1892</v>
      </c>
      <c r="K36" s="63" t="s">
        <v>1070</v>
      </c>
      <c r="L36" s="5" t="s">
        <v>902</v>
      </c>
      <c r="M36" s="5" t="s">
        <v>1110</v>
      </c>
      <c r="N36" s="5" t="s">
        <v>850</v>
      </c>
      <c r="O36" s="5" t="s">
        <v>884</v>
      </c>
      <c r="P36" t="s">
        <v>1726</v>
      </c>
      <c r="Q36" s="34" t="s">
        <v>391</v>
      </c>
      <c r="R36" s="5" t="s">
        <v>1295</v>
      </c>
      <c r="S36" s="5" t="s">
        <v>1789</v>
      </c>
      <c r="T36" s="5" t="s">
        <v>1161</v>
      </c>
      <c r="U36" s="34" t="s">
        <v>1635</v>
      </c>
      <c r="V36" s="34" t="s">
        <v>262</v>
      </c>
      <c r="W36" s="5" t="s">
        <v>1338</v>
      </c>
      <c r="X36" s="34" t="s">
        <v>538</v>
      </c>
      <c r="Y36" s="34" t="s">
        <v>8</v>
      </c>
      <c r="Z36" s="5" t="s">
        <v>791</v>
      </c>
      <c r="AA36" s="74" t="s">
        <v>1409</v>
      </c>
      <c r="AB36" s="88" t="s">
        <v>1544</v>
      </c>
      <c r="AC36" s="77" t="s">
        <v>331</v>
      </c>
      <c r="AD36" s="92" t="s">
        <v>118</v>
      </c>
      <c r="AE36" s="83" t="s">
        <v>175</v>
      </c>
      <c r="AN36" s="14">
        <f t="shared" si="16"/>
        <v>17.737085379484149</v>
      </c>
      <c r="AO36" s="11">
        <f t="shared" si="14"/>
        <v>7.4002499442581721E-2</v>
      </c>
      <c r="AY36" s="33">
        <v>1010122</v>
      </c>
      <c r="AZ36" s="33">
        <f t="shared" si="11"/>
        <v>0</v>
      </c>
      <c r="BB36" s="39">
        <v>11</v>
      </c>
      <c r="BC36" s="44">
        <f>LOOKUP(AZ$54,BD$5:CN$5,BD36:CN36)</f>
        <v>0</v>
      </c>
      <c r="BD36" s="44"/>
      <c r="BF36" s="43" t="str">
        <f>CONCATENATE(BB36,CP103,CQ103,CR103,CS103,CT103)</f>
        <v>11 L IX-0.625 IY-0.625 R0</v>
      </c>
      <c r="BG36" s="43" t="str">
        <f>BE18</f>
        <v>G03 X0. Y0. Z1.5 I-1.25 J0. F106</v>
      </c>
      <c r="BH36" s="43" t="str">
        <f>CONCATENATE(BB36,DE103,DF103,DG103,DH103,DI103)</f>
        <v>11 L IX-0.493 IY-0.493 R0</v>
      </c>
      <c r="BI36" s="43" t="str">
        <f>CONCATENATE(DT36,DU36,DV36,DW36,DX36,DY36,DZ36,EA36,EB36,EC36,ED36,EE36,EF36,EG36)</f>
        <v>G03 X0. Y0. Z1.5 I-1.09 J0. F95</v>
      </c>
      <c r="BJ36" s="43" t="str">
        <f>CONCATENATE(BB36,DT103,DU103,DV103,DW103,DX103)</f>
        <v>11 L IX-0.423 IY-0.423 R0</v>
      </c>
      <c r="BK36" s="43" t="str">
        <f>CONCATENATE(EI36,EJ36,EK36,EL36)</f>
        <v>G00 Z19.125</v>
      </c>
      <c r="BL36" s="43" t="str">
        <f>CONCATENATE(BB36,CP94,CQ94,CR94,CS94)</f>
        <v>11 CP IPA+360 IZ+1.5 DR+ F106</v>
      </c>
      <c r="BM36" s="43" t="str">
        <f>BG27</f>
        <v>G00 Z-1.876</v>
      </c>
      <c r="BN36" s="43" t="str">
        <f>CONCATENATE(BB36,CP94,CQ94,CR94,AX62)</f>
        <v>11 CP IPA+360 IZ+1.5 DR+ F88</v>
      </c>
      <c r="BO36" s="4" t="str">
        <f>BI27</f>
        <v>G00 Z-1.876</v>
      </c>
      <c r="BP36" s="43" t="str">
        <f>CONCATENATE(BB36,CP94,CQ94,CR94,AX68)</f>
        <v>11 CP IPA+360 IZ+1.5 DR+ F78</v>
      </c>
      <c r="BQ36" s="4" t="str">
        <f>BE21</f>
        <v>G03 X-0.625 Y0.625 Z0.188 I-0.625 J0. F530</v>
      </c>
      <c r="BR36" s="43" t="str">
        <f>BL36</f>
        <v>11 CP IPA+360 IZ+1.5 DR+ F106</v>
      </c>
      <c r="BS36" s="43" t="str">
        <f>BG21</f>
        <v>G03 X-0.493 Y0.493 Z0.188 I-0.493 J0. F440</v>
      </c>
      <c r="BT36" s="43" t="str">
        <f>CONCATENATE(BB36,CP94,CQ94,CR94,AX62)</f>
        <v>11 CP IPA+360 IZ+1.5 DR+ F88</v>
      </c>
      <c r="BU36" s="43" t="str">
        <f>BI21</f>
        <v>G03 X-0.423 Y0.423 Z0.188 I-0.423 J0. F390</v>
      </c>
      <c r="BV36" s="125" t="str">
        <f>BP36</f>
        <v>11 CP IPA+360 IZ+1.5 DR+ F78</v>
      </c>
      <c r="BW36" s="43" t="str">
        <f>BE27</f>
        <v>G00 Z20.124</v>
      </c>
      <c r="BX36" s="125" t="str">
        <f>CONCATENATE(BB36,EX103,FF24,CR82,FH24)</f>
        <v>11 CC IX+1.274 IY-0.012</v>
      </c>
      <c r="BY36" s="43" t="str">
        <f>BG27</f>
        <v>G00 Z-1.876</v>
      </c>
      <c r="BZ36" s="125" t="str">
        <f>CONCATENATE(BB36,EX103,FT24,CR82,FV24)</f>
        <v>11 CC IX+1.01 IY-0.012</v>
      </c>
      <c r="CA36" s="43" t="str">
        <f>BI27</f>
        <v>G00 Z-1.876</v>
      </c>
      <c r="CB36" s="125" t="str">
        <f>CONCATENATE(BB36,EX103,GH24,CR82,GJ24)</f>
        <v>11 CC IX+0.87 IY-0.012</v>
      </c>
      <c r="CD36" s="43" t="str">
        <f>CC18</f>
        <v>G03 X0.625 C0.625 Z0.188 I0. J0.625</v>
      </c>
      <c r="CE36" s="43" t="str">
        <f>CONCATENATE(DT33,DU33,DV33,GR33,DX33,DY33,DZ33,EA33,EB33,EC33,ED33,EE33)</f>
        <v>G03 X0.545 C0.545 Z0.188 I0. J0.545</v>
      </c>
      <c r="CF36" s="43" t="str">
        <f>CC27</f>
        <v>G01 G40 X-0.625 C-0.625</v>
      </c>
      <c r="CG36" s="43" t="str">
        <f>CD27</f>
        <v>G01 G40 X-0.493 C-0.493</v>
      </c>
      <c r="CH36" s="43" t="str">
        <f>CE27</f>
        <v>G01 G40 X-0.423 C-0.423</v>
      </c>
      <c r="CI36" s="43" t="str">
        <f>BQ33</f>
        <v>END1</v>
      </c>
      <c r="CJ36" s="43" t="str">
        <f>CI36</f>
        <v>END1</v>
      </c>
      <c r="CK36" s="43" t="str">
        <f>CJ36</f>
        <v>END1</v>
      </c>
      <c r="CL36" s="43" t="str">
        <f>CONCATENATE(EX33,EY33,EZ33,FA33,GT36,FC33,FD33)</f>
        <v>G01 G40 X-0.673 C-0.625</v>
      </c>
      <c r="CM36" s="43" t="str">
        <f>CONCATENATE(FL33,FM33,FN33,FO33,GV36,FQ33,FR33)</f>
        <v>G01 G40 X-0.541 C-0.493</v>
      </c>
      <c r="CN36" s="43" t="str">
        <f>CONCATENATE(FZ33,GA33,GB33,GC33,GX36,GE33,GF33)</f>
        <v>G01 G40 X-0.471 C-0.423</v>
      </c>
      <c r="CY36" s="18"/>
      <c r="DD36" s="45"/>
      <c r="DE36" s="18"/>
      <c r="DF36" s="18"/>
      <c r="DG36" s="18"/>
      <c r="DH36" s="18"/>
      <c r="DI36" s="18"/>
      <c r="DJ36" s="18"/>
      <c r="DK36" s="18"/>
      <c r="DL36" s="18"/>
      <c r="DM36" s="18"/>
      <c r="DN36" s="18"/>
      <c r="DO36" s="18"/>
      <c r="DP36" s="18"/>
      <c r="DQ36" s="18"/>
      <c r="DR36" s="18"/>
      <c r="DS36" s="48">
        <v>11</v>
      </c>
      <c r="DT36" s="18" t="s">
        <v>571</v>
      </c>
      <c r="DU36" s="18" t="s">
        <v>570</v>
      </c>
      <c r="DV36" s="18">
        <v>0</v>
      </c>
      <c r="DW36" s="18" t="s">
        <v>576</v>
      </c>
      <c r="DX36" s="18">
        <v>0</v>
      </c>
      <c r="DY36" s="18" t="s">
        <v>577</v>
      </c>
      <c r="DZ36" s="18" t="str">
        <f>SUBSTITUTE(DZ34,",",".")</f>
        <v>1.5</v>
      </c>
      <c r="EA36" s="18" t="str">
        <f>IF(DZ34=DZ35,". I"," I")</f>
        <v xml:space="preserve"> I</v>
      </c>
      <c r="EB36" s="18" t="str">
        <f>SUBSTITUTE(EB34,",",".")</f>
        <v>-1.09</v>
      </c>
      <c r="EC36" s="18" t="str">
        <f>IF(EB34=EB35,". J"," J")</f>
        <v xml:space="preserve"> J</v>
      </c>
      <c r="ED36" s="18">
        <v>0</v>
      </c>
      <c r="EE36" s="25" t="s">
        <v>1053</v>
      </c>
      <c r="EF36" s="25" t="s">
        <v>2341</v>
      </c>
      <c r="EG36" s="25">
        <f>AX69</f>
        <v>95</v>
      </c>
      <c r="EH36" s="48">
        <v>11</v>
      </c>
      <c r="EI36" s="120" t="s">
        <v>565</v>
      </c>
      <c r="EJ36" s="120" t="s">
        <v>567</v>
      </c>
      <c r="EK36" s="120" t="str">
        <f>SUBSTITUTE(EK34,",",".")</f>
        <v>19.125</v>
      </c>
      <c r="EL36" s="120" t="str">
        <f>IF(EK34=EK35,".","")</f>
        <v/>
      </c>
      <c r="GS36" s="48">
        <v>11</v>
      </c>
      <c r="GT36" s="33" t="str">
        <f>IF(FA31=FA32,". C"," C")</f>
        <v xml:space="preserve"> C</v>
      </c>
      <c r="GU36" s="48">
        <v>11</v>
      </c>
      <c r="GV36" s="33" t="str">
        <f>IF(FO31=FO32,". C"," C")</f>
        <v xml:space="preserve"> C</v>
      </c>
      <c r="GW36" s="48">
        <v>11</v>
      </c>
      <c r="GX36" s="33" t="str">
        <f>IF(GC31=GC32,". C"," C")</f>
        <v xml:space="preserve"> C</v>
      </c>
    </row>
    <row r="37" spans="1:206" ht="20" customHeight="1">
      <c r="F37" s="161" t="str">
        <f>IF(BC105=0,"",BC105)</f>
        <v/>
      </c>
      <c r="G37" s="60"/>
      <c r="H37" t="s">
        <v>1705</v>
      </c>
      <c r="I37" s="5" t="str">
        <f t="shared" si="15"/>
        <v>Hierro fundido, graf. esfer., maleable, &lt;700 N/mm2</v>
      </c>
      <c r="J37" s="5" t="s">
        <v>1893</v>
      </c>
      <c r="K37" s="63" t="s">
        <v>1071</v>
      </c>
      <c r="L37" s="5" t="s">
        <v>903</v>
      </c>
      <c r="M37" s="5" t="s">
        <v>1111</v>
      </c>
      <c r="N37" s="5" t="s">
        <v>927</v>
      </c>
      <c r="O37" s="5" t="s">
        <v>993</v>
      </c>
      <c r="P37" t="s">
        <v>1727</v>
      </c>
      <c r="Q37" s="34" t="s">
        <v>463</v>
      </c>
      <c r="R37" s="5" t="s">
        <v>1296</v>
      </c>
      <c r="S37" s="5" t="s">
        <v>1790</v>
      </c>
      <c r="T37" s="5" t="s">
        <v>1256</v>
      </c>
      <c r="U37" s="34" t="s">
        <v>1527</v>
      </c>
      <c r="V37" s="34" t="s">
        <v>263</v>
      </c>
      <c r="W37" s="5" t="s">
        <v>1339</v>
      </c>
      <c r="X37" s="34" t="s">
        <v>493</v>
      </c>
      <c r="Y37" s="34" t="s">
        <v>9</v>
      </c>
      <c r="Z37" s="5" t="s">
        <v>792</v>
      </c>
      <c r="AA37" s="74" t="s">
        <v>1410</v>
      </c>
      <c r="AB37" s="88" t="s">
        <v>1545</v>
      </c>
      <c r="AC37" s="77" t="s">
        <v>413</v>
      </c>
      <c r="AD37" s="92" t="s">
        <v>119</v>
      </c>
      <c r="AE37" s="83" t="s">
        <v>176</v>
      </c>
      <c r="AN37" s="14">
        <f t="shared" si="16"/>
        <v>19.688164771227406</v>
      </c>
      <c r="AO37" s="11">
        <f t="shared" si="14"/>
        <v>8.1402749386839904E-2</v>
      </c>
      <c r="AY37" s="33">
        <v>1010131</v>
      </c>
      <c r="AZ37" s="33">
        <f t="shared" si="11"/>
        <v>0</v>
      </c>
      <c r="BB37" s="39"/>
      <c r="BP37" s="43"/>
      <c r="CY37" s="18"/>
      <c r="DD37" s="45"/>
      <c r="DE37" s="18"/>
      <c r="DF37" s="18"/>
      <c r="DG37" s="18"/>
      <c r="DH37" s="18"/>
      <c r="DI37" s="18"/>
      <c r="DJ37" s="18"/>
      <c r="DK37" s="18"/>
      <c r="DL37" s="18"/>
      <c r="DM37" s="18"/>
      <c r="DN37" s="18"/>
      <c r="DO37" s="18"/>
      <c r="DP37" s="18"/>
      <c r="DQ37" s="18"/>
      <c r="DR37" s="18"/>
      <c r="DS37" s="48"/>
      <c r="DT37" s="18"/>
      <c r="DU37" s="18"/>
      <c r="DV37" s="18">
        <f>-AW69</f>
        <v>-0.54500000000000004</v>
      </c>
      <c r="DW37" s="18"/>
      <c r="DX37" s="18">
        <f>AW69</f>
        <v>0.54500000000000004</v>
      </c>
      <c r="DY37" s="18"/>
      <c r="DZ37" s="18">
        <f>ROUND(AR6/8,3)</f>
        <v>0.188</v>
      </c>
      <c r="EA37" s="18"/>
      <c r="EB37" s="18">
        <f>-AW69</f>
        <v>-0.54500000000000004</v>
      </c>
      <c r="EC37" s="18"/>
      <c r="ED37" s="18"/>
      <c r="EE37" s="25"/>
      <c r="EF37" s="25"/>
      <c r="EG37" s="25"/>
      <c r="EH37" s="48"/>
    </row>
    <row r="38" spans="1:206" ht="20" customHeight="1">
      <c r="F38" s="161" t="str">
        <f>IF(BC108=0,"",BC108)</f>
        <v/>
      </c>
      <c r="H38" t="s">
        <v>678</v>
      </c>
      <c r="I38" s="5" t="str">
        <f t="shared" si="15"/>
        <v>Hierro fundido, graf. esfer., maleable, &lt;1000 N/mm2</v>
      </c>
      <c r="J38" s="5" t="s">
        <v>1894</v>
      </c>
      <c r="K38" s="63" t="s">
        <v>1072</v>
      </c>
      <c r="L38" s="5" t="s">
        <v>951</v>
      </c>
      <c r="M38" s="5" t="s">
        <v>1113</v>
      </c>
      <c r="N38" s="5" t="s">
        <v>714</v>
      </c>
      <c r="O38" s="5" t="s">
        <v>994</v>
      </c>
      <c r="P38" t="s">
        <v>1728</v>
      </c>
      <c r="Q38" s="34" t="s">
        <v>379</v>
      </c>
      <c r="R38" s="5" t="s">
        <v>1297</v>
      </c>
      <c r="S38" s="5" t="s">
        <v>1791</v>
      </c>
      <c r="T38" s="5" t="s">
        <v>1257</v>
      </c>
      <c r="U38" s="34" t="s">
        <v>1632</v>
      </c>
      <c r="V38" s="34" t="s">
        <v>252</v>
      </c>
      <c r="W38" s="5" t="s">
        <v>1340</v>
      </c>
      <c r="X38" s="34" t="s">
        <v>494</v>
      </c>
      <c r="Y38" s="34" t="s">
        <v>10</v>
      </c>
      <c r="Z38" s="5" t="s">
        <v>719</v>
      </c>
      <c r="AA38" s="74" t="s">
        <v>1411</v>
      </c>
      <c r="AB38" s="88" t="s">
        <v>1639</v>
      </c>
      <c r="AC38" s="77" t="s">
        <v>414</v>
      </c>
      <c r="AD38" s="92" t="s">
        <v>120</v>
      </c>
      <c r="AE38" s="83" t="s">
        <v>167</v>
      </c>
      <c r="AN38" s="14">
        <f t="shared" si="16"/>
        <v>21.853862896062424</v>
      </c>
      <c r="AO38" s="11">
        <f t="shared" si="14"/>
        <v>8.9543024325523898E-2</v>
      </c>
      <c r="AY38" s="33">
        <v>1010132</v>
      </c>
      <c r="AZ38" s="33">
        <f t="shared" si="11"/>
        <v>0</v>
      </c>
      <c r="BB38" s="39"/>
      <c r="BP38" s="43"/>
      <c r="CY38" s="18"/>
      <c r="DD38" s="45"/>
      <c r="DE38" s="18"/>
      <c r="DF38" s="18"/>
      <c r="DG38" s="18"/>
      <c r="DH38" s="18"/>
      <c r="DI38" s="18"/>
      <c r="DJ38" s="18"/>
      <c r="DK38" s="18"/>
      <c r="DL38" s="18"/>
      <c r="DM38" s="18"/>
      <c r="DN38" s="18"/>
      <c r="DO38" s="18"/>
      <c r="DP38" s="18"/>
      <c r="DQ38" s="18"/>
      <c r="DR38" s="18"/>
      <c r="DV38" s="25">
        <f>INT(DV37)</f>
        <v>-1</v>
      </c>
      <c r="DX38" s="25">
        <f>INT(DX37)</f>
        <v>0</v>
      </c>
      <c r="DZ38" s="25">
        <f>INT(DZ37)</f>
        <v>0</v>
      </c>
      <c r="EB38" s="25">
        <f>INT(EB37)</f>
        <v>-1</v>
      </c>
      <c r="EE38" s="25"/>
      <c r="EF38" s="25"/>
      <c r="EG38" s="25"/>
    </row>
    <row r="39" spans="1:206" ht="20" customHeight="1">
      <c r="F39" s="161" t="str">
        <f>IF(BC111=0,"",BC111)</f>
        <v/>
      </c>
      <c r="H39" t="s">
        <v>682</v>
      </c>
      <c r="I39" s="5" t="str">
        <f t="shared" si="15"/>
        <v>Inoxidable, fácil de mecanizar</v>
      </c>
      <c r="J39" s="5" t="s">
        <v>1895</v>
      </c>
      <c r="K39" s="63" t="s">
        <v>1073</v>
      </c>
      <c r="L39" s="5" t="s">
        <v>952</v>
      </c>
      <c r="M39" s="5" t="s">
        <v>1114</v>
      </c>
      <c r="N39" s="5" t="s">
        <v>641</v>
      </c>
      <c r="O39" s="5" t="s">
        <v>784</v>
      </c>
      <c r="P39" t="s">
        <v>1729</v>
      </c>
      <c r="Q39" s="34" t="s">
        <v>380</v>
      </c>
      <c r="R39" s="5" t="s">
        <v>1303</v>
      </c>
      <c r="S39" s="5" t="s">
        <v>1792</v>
      </c>
      <c r="T39" s="5" t="s">
        <v>1258</v>
      </c>
      <c r="U39" s="34" t="s">
        <v>1633</v>
      </c>
      <c r="V39" s="34" t="s">
        <v>253</v>
      </c>
      <c r="W39" s="5" t="s">
        <v>1341</v>
      </c>
      <c r="X39" s="34" t="s">
        <v>495</v>
      </c>
      <c r="Y39" s="34" t="s">
        <v>631</v>
      </c>
      <c r="Z39" s="5" t="s">
        <v>720</v>
      </c>
      <c r="AA39" s="74" t="s">
        <v>1482</v>
      </c>
      <c r="AB39" s="88" t="s">
        <v>1640</v>
      </c>
      <c r="AC39" s="77" t="s">
        <v>378</v>
      </c>
      <c r="AD39" s="92" t="s">
        <v>199</v>
      </c>
      <c r="AE39" s="83" t="s">
        <v>168</v>
      </c>
      <c r="AN39" s="14">
        <f t="shared" si="16"/>
        <v>24.257787814629292</v>
      </c>
      <c r="AO39" s="11">
        <f t="shared" si="14"/>
        <v>9.8497326758076292E-2</v>
      </c>
      <c r="AV39" s="25">
        <f>LOOKUP(AK12,TOOLS!A2:A488,TOOLS!C2:C488)</f>
        <v>1</v>
      </c>
      <c r="AY39" s="33"/>
      <c r="AZ39" s="33"/>
      <c r="BB39" s="39">
        <v>12</v>
      </c>
      <c r="BC39" s="44">
        <f>LOOKUP(AZ$54,BD$5:CN$5,BD39:CN39)</f>
        <v>0</v>
      </c>
      <c r="BD39" s="44"/>
      <c r="BF39" s="43" t="str">
        <f>CONCATENATE(BB39,CP106,CQ106,CR106)</f>
        <v>12 L IZ+20.124 FMAX</v>
      </c>
      <c r="BG39" s="43" t="str">
        <f>BE21</f>
        <v>G03 X-0.625 Y0.625 Z0.188 I-0.625 J0. F530</v>
      </c>
      <c r="BH39" s="43" t="str">
        <f>CONCATENATE(BB39,DE106,DF106,DG106)</f>
        <v>12 L IZ-1.876 FMAX</v>
      </c>
      <c r="BI39" s="43" t="str">
        <f>CONCATENATE(DT39,DU39,DV39,DW39,DX39,DY39,DZ39,EA39,EB39,EC39,ED39,EE39,EF39,EG39)</f>
        <v>G03 X-0.545 Y0.545 Z0.188 I-0.545 J0. F475</v>
      </c>
      <c r="BJ39" s="43" t="str">
        <f>CONCATENATE(BB39,DT106,DU106,DV106)</f>
        <v>12 L IZ-1.876 FMAX</v>
      </c>
      <c r="BK39" s="43" t="str">
        <f>EI39</f>
        <v>#2=#2+1</v>
      </c>
      <c r="BL39" s="43" t="str">
        <f>CONCATENATE(BB39,CP97,CQ97,CR97)</f>
        <v>12 CC IX-0.625 IY+0</v>
      </c>
      <c r="BM39" s="43" t="str">
        <f>BG30</f>
        <v>G01 G41 X0.625 Y-0.625 F53</v>
      </c>
      <c r="BN39" s="43" t="str">
        <f>CONCATENATE(BB39,DE97,DF97,DG97)</f>
        <v>12 CC IX-0.493 IY+0</v>
      </c>
      <c r="BO39" s="4" t="str">
        <f>BI30</f>
        <v>G01 G41 X0.545 Y-0.545 F48</v>
      </c>
      <c r="BP39" s="43" t="str">
        <f>CONCATENATE(BB39,DT97,DU97,DV97)</f>
        <v>12 CC IX-0.423 IY+0</v>
      </c>
      <c r="BQ39" s="4" t="str">
        <f>BE24</f>
        <v>G01 G40 X-0.625 Y-0.625</v>
      </c>
      <c r="BR39" s="43" t="str">
        <f>CONCATENATE(BB39,EI118)</f>
        <v>12 FN 1: Q2 =+Q2 + +1</v>
      </c>
      <c r="BS39" s="43" t="str">
        <f>BG24</f>
        <v>G01 G40 X-0.493 Y-0.493</v>
      </c>
      <c r="BT39" s="43" t="str">
        <f>BR39</f>
        <v>12 FN 1: Q2 =+Q2 + +1</v>
      </c>
      <c r="BU39" s="43" t="str">
        <f>BI24</f>
        <v>G01 G40 X-0.423 Y-0.423</v>
      </c>
      <c r="BV39" s="125" t="str">
        <f>BR39</f>
        <v>12 FN 1: Q2 =+Q2 + +1</v>
      </c>
      <c r="BX39" s="125" t="str">
        <f>CONCATENATE(BB39,CP88,FD24,CR88)</f>
        <v>12 CP IPA+90 IZ+0.375 DR+</v>
      </c>
      <c r="BY39" s="43" t="str">
        <f>BW12</f>
        <v>G01 G41 X0.625 Y-0.625 F53</v>
      </c>
      <c r="BZ39" s="125" t="str">
        <f>BX39</f>
        <v>12 CP IPA+90 IZ+0.375 DR+</v>
      </c>
      <c r="CA39" s="43" t="str">
        <f>BI30</f>
        <v>G01 G41 X0.545 Y-0.545 F48</v>
      </c>
      <c r="CB39" s="125" t="str">
        <f>BZ39</f>
        <v>12 CP IPA+90 IZ+0.375 DR+</v>
      </c>
      <c r="CD39" s="43" t="str">
        <f>CC21</f>
        <v>G03 X0. C0. Z1.5 I-1.25 J0. F106</v>
      </c>
      <c r="CE39" s="43" t="str">
        <f>CONCATENATE(DT36,DU36,DV36,". C",DX36,DY36,DZ36,EA36,EB36,EC36,ED36,EE36,EF36,EG36)</f>
        <v>G03 X0. C0. Z1.5 I-1.09 J0. F95</v>
      </c>
      <c r="CF39" s="43" t="str">
        <f>BK36</f>
        <v>G00 Z19.125</v>
      </c>
      <c r="CG39" s="43" t="str">
        <f>CD30</f>
        <v>G00 Z-1.876</v>
      </c>
      <c r="CH39" s="43" t="str">
        <f>CE30</f>
        <v>G00 Z-1.876</v>
      </c>
      <c r="CI39" s="43" t="str">
        <f>CC24</f>
        <v>G03 X-0.625 C0.625 Z0.188 I-0.625 J0. F530</v>
      </c>
      <c r="CJ39" s="43" t="str">
        <f>CD24</f>
        <v>G03 X-0.493 C0.493 Z0.188 I-0.493 J0. F440</v>
      </c>
      <c r="CK39" s="43" t="str">
        <f>CE24</f>
        <v>G03 X-0.423 C0.423 Z0.188 I-0.423 J0. F390</v>
      </c>
      <c r="CL39" s="43" t="str">
        <f>CC30</f>
        <v>G13.1</v>
      </c>
      <c r="CM39" s="43" t="str">
        <f>CD30</f>
        <v>G00 Z-1.876</v>
      </c>
      <c r="CN39" s="43" t="str">
        <f>CE30</f>
        <v>G00 Z-1.876</v>
      </c>
      <c r="CY39" s="18"/>
      <c r="DD39" s="45"/>
      <c r="DE39" s="18"/>
      <c r="DF39" s="18"/>
      <c r="DG39" s="18"/>
      <c r="DH39" s="18"/>
      <c r="DI39" s="18"/>
      <c r="DJ39" s="18"/>
      <c r="DK39" s="18"/>
      <c r="DL39" s="18"/>
      <c r="DM39" s="18"/>
      <c r="DN39" s="18"/>
      <c r="DO39" s="18"/>
      <c r="DP39" s="18"/>
      <c r="DQ39" s="18"/>
      <c r="DR39" s="18"/>
      <c r="DS39" s="48">
        <v>12</v>
      </c>
      <c r="DT39" s="18" t="s">
        <v>571</v>
      </c>
      <c r="DU39" s="18" t="s">
        <v>570</v>
      </c>
      <c r="DV39" s="18" t="str">
        <f>SUBSTITUTE(DV37,",",".")</f>
        <v>-0.545</v>
      </c>
      <c r="DW39" s="18" t="str">
        <f>IF(DV37=DV38,". Y"," Y")</f>
        <v xml:space="preserve"> Y</v>
      </c>
      <c r="DX39" s="18" t="str">
        <f>SUBSTITUTE(DX37,",",".")</f>
        <v>0.545</v>
      </c>
      <c r="DY39" s="18" t="str">
        <f>IF(DX37=DX38,". Z"," Z")</f>
        <v xml:space="preserve"> Z</v>
      </c>
      <c r="DZ39" s="18" t="str">
        <f>SUBSTITUTE(DZ37,",",".")</f>
        <v>0.188</v>
      </c>
      <c r="EA39" s="18" t="str">
        <f>IF(DZ37=DZ38,". I"," I")</f>
        <v xml:space="preserve"> I</v>
      </c>
      <c r="EB39" s="18" t="str">
        <f>SUBSTITUTE(EB37,",",".")</f>
        <v>-0.545</v>
      </c>
      <c r="EC39" s="18" t="str">
        <f>IF(EB37=EB38,". J"," J")</f>
        <v xml:space="preserve"> J</v>
      </c>
      <c r="ED39" s="18">
        <v>0</v>
      </c>
      <c r="EE39" s="25" t="s">
        <v>1053</v>
      </c>
      <c r="EF39" s="25" t="s">
        <v>2341</v>
      </c>
      <c r="EG39" s="25">
        <f>AX69*5</f>
        <v>475</v>
      </c>
      <c r="EH39" s="48">
        <v>12</v>
      </c>
      <c r="EI39" s="120" t="s">
        <v>863</v>
      </c>
    </row>
    <row r="40" spans="1:206" ht="20" customHeight="1">
      <c r="F40" s="161" t="str">
        <f>IF(BC114=0,"",BC114)</f>
        <v/>
      </c>
      <c r="H40" t="s">
        <v>683</v>
      </c>
      <c r="I40" s="5" t="str">
        <f t="shared" si="15"/>
        <v>Inoxidable, austenítico</v>
      </c>
      <c r="J40" s="5" t="s">
        <v>1896</v>
      </c>
      <c r="K40" s="63" t="s">
        <v>1074</v>
      </c>
      <c r="L40" s="5" t="s">
        <v>844</v>
      </c>
      <c r="M40" s="5" t="s">
        <v>1115</v>
      </c>
      <c r="N40" s="5" t="s">
        <v>619</v>
      </c>
      <c r="O40" s="5" t="s">
        <v>785</v>
      </c>
      <c r="P40" t="s">
        <v>1730</v>
      </c>
      <c r="Q40" s="34" t="s">
        <v>381</v>
      </c>
      <c r="R40" s="5" t="s">
        <v>1304</v>
      </c>
      <c r="S40" s="5" t="s">
        <v>1793</v>
      </c>
      <c r="T40" s="5" t="s">
        <v>1259</v>
      </c>
      <c r="U40" s="34" t="s">
        <v>1636</v>
      </c>
      <c r="V40" s="34" t="s">
        <v>255</v>
      </c>
      <c r="W40" s="5" t="s">
        <v>1342</v>
      </c>
      <c r="X40" s="34" t="s">
        <v>708</v>
      </c>
      <c r="Y40" s="34" t="s">
        <v>2</v>
      </c>
      <c r="Z40" s="5" t="s">
        <v>721</v>
      </c>
      <c r="AA40" s="74" t="s">
        <v>1592</v>
      </c>
      <c r="AB40" s="88" t="s">
        <v>1641</v>
      </c>
      <c r="AC40" s="77" t="s">
        <v>498</v>
      </c>
      <c r="AD40" s="92" t="s">
        <v>200</v>
      </c>
      <c r="AE40" s="83" t="s">
        <v>169</v>
      </c>
      <c r="AN40" s="14">
        <f t="shared" si="16"/>
        <v>26.926144474238516</v>
      </c>
      <c r="AO40" s="11">
        <f t="shared" si="14"/>
        <v>0.10834705943388392</v>
      </c>
      <c r="AV40" s="25" t="b">
        <f>ISNA(AV39)</f>
        <v>0</v>
      </c>
      <c r="AY40" s="33"/>
      <c r="AZ40" s="33"/>
      <c r="BB40" s="39"/>
      <c r="BP40" s="43"/>
      <c r="CY40" s="18"/>
      <c r="DD40" s="45"/>
      <c r="DE40" s="18"/>
      <c r="DF40" s="18"/>
      <c r="DG40" s="18"/>
      <c r="DH40" s="18"/>
      <c r="DI40" s="18"/>
      <c r="DJ40" s="18"/>
      <c r="DK40" s="18"/>
      <c r="DL40" s="18"/>
      <c r="DM40" s="18"/>
      <c r="DN40" s="18"/>
      <c r="DO40" s="18"/>
      <c r="DP40" s="18"/>
      <c r="DQ40" s="18"/>
      <c r="DR40" s="18"/>
      <c r="DS40" s="48"/>
      <c r="DT40" s="18"/>
      <c r="DU40" s="18"/>
      <c r="DV40" s="18"/>
      <c r="DW40" s="18">
        <f>-AW69</f>
        <v>-0.54500000000000004</v>
      </c>
      <c r="DX40" s="18"/>
      <c r="DY40" s="18">
        <f>-AW69</f>
        <v>-0.54500000000000004</v>
      </c>
      <c r="DZ40" s="18"/>
      <c r="EA40" s="18"/>
      <c r="EB40" s="18"/>
      <c r="EC40" s="18"/>
      <c r="ED40" s="18"/>
      <c r="EE40" s="25"/>
      <c r="EF40" s="25"/>
      <c r="EG40" s="25"/>
      <c r="EH40" s="48"/>
      <c r="EP40" s="33">
        <f>ROUND(-CS7-CV13-(AV48*CV16)-CV19,3)</f>
        <v>0.624</v>
      </c>
      <c r="ES40"/>
      <c r="ET40"/>
      <c r="EU40" s="33">
        <f>ROUND(-CV13-(AV48*CV16)-CV19,3)</f>
        <v>-21.376000000000001</v>
      </c>
      <c r="EV40"/>
    </row>
    <row r="41" spans="1:206" ht="20" customHeight="1">
      <c r="F41" s="161" t="str">
        <f>IF(BC117=0,"",BC117)</f>
        <v/>
      </c>
      <c r="H41" t="s">
        <v>679</v>
      </c>
      <c r="I41" s="5" t="str">
        <f t="shared" si="15"/>
        <v>Inoxidable, ferrítico y austenítico</v>
      </c>
      <c r="J41" s="5" t="s">
        <v>1897</v>
      </c>
      <c r="K41" s="63" t="s">
        <v>1075</v>
      </c>
      <c r="L41" s="5" t="s">
        <v>979</v>
      </c>
      <c r="M41" s="5" t="s">
        <v>1150</v>
      </c>
      <c r="N41" s="5" t="s">
        <v>558</v>
      </c>
      <c r="O41" s="5" t="s">
        <v>757</v>
      </c>
      <c r="P41" t="s">
        <v>1731</v>
      </c>
      <c r="Q41" s="34" t="s">
        <v>321</v>
      </c>
      <c r="R41" s="5" t="s">
        <v>1309</v>
      </c>
      <c r="S41" s="5" t="s">
        <v>1794</v>
      </c>
      <c r="T41" s="5" t="s">
        <v>1260</v>
      </c>
      <c r="U41" s="34" t="s">
        <v>1605</v>
      </c>
      <c r="V41" s="34" t="s">
        <v>235</v>
      </c>
      <c r="W41" s="5" t="s">
        <v>1343</v>
      </c>
      <c r="X41" s="34" t="s">
        <v>627</v>
      </c>
      <c r="Y41" s="34" t="s">
        <v>3</v>
      </c>
      <c r="Z41" s="5" t="s">
        <v>722</v>
      </c>
      <c r="AA41" s="74" t="s">
        <v>1593</v>
      </c>
      <c r="AB41" s="88" t="s">
        <v>1549</v>
      </c>
      <c r="AC41" s="77" t="s">
        <v>499</v>
      </c>
      <c r="AD41" s="92" t="s">
        <v>67</v>
      </c>
      <c r="AE41" s="83" t="s">
        <v>170</v>
      </c>
      <c r="AN41" s="14">
        <f t="shared" si="16"/>
        <v>29.888020366404756</v>
      </c>
      <c r="AO41" s="11">
        <f t="shared" si="14"/>
        <v>0.11918176537727232</v>
      </c>
      <c r="AV41" s="42">
        <f>IF(AV40=FALSE,AV39,"")</f>
        <v>1</v>
      </c>
      <c r="AY41" s="33"/>
      <c r="AZ41" s="33"/>
      <c r="BB41" s="39"/>
      <c r="BP41" s="43"/>
      <c r="CY41" s="18"/>
      <c r="DD41" s="45"/>
      <c r="DE41" s="18"/>
      <c r="DF41" s="18"/>
      <c r="DG41" s="18"/>
      <c r="DH41" s="18"/>
      <c r="DI41" s="18"/>
      <c r="DJ41" s="18"/>
      <c r="DK41" s="18"/>
      <c r="DL41" s="18"/>
      <c r="DM41" s="18"/>
      <c r="DN41" s="18"/>
      <c r="DO41" s="18"/>
      <c r="DP41" s="18"/>
      <c r="DQ41" s="18"/>
      <c r="DR41" s="18"/>
      <c r="DW41" s="25">
        <f>INT(DW40)</f>
        <v>-1</v>
      </c>
      <c r="DY41" s="25">
        <f>INT(DY40)</f>
        <v>-1</v>
      </c>
      <c r="EE41" s="25"/>
      <c r="EF41" s="25"/>
      <c r="EG41" s="25"/>
      <c r="EP41" s="25">
        <f>INT(EP40)</f>
        <v>0</v>
      </c>
      <c r="ES41"/>
      <c r="ET41"/>
      <c r="EU41" s="25">
        <f>INT(EU40)</f>
        <v>-22</v>
      </c>
      <c r="EV41"/>
    </row>
    <row r="42" spans="1:206" ht="20" customHeight="1">
      <c r="F42" s="161" t="str">
        <f>IF(BC120=0,"",BC120)</f>
        <v/>
      </c>
      <c r="H42" t="s">
        <v>1165</v>
      </c>
      <c r="I42" s="5" t="str">
        <f t="shared" si="15"/>
        <v>Titanio, no aleado, &lt; 700 N/mm2</v>
      </c>
      <c r="J42" s="5" t="s">
        <v>1898</v>
      </c>
      <c r="K42" s="63" t="s">
        <v>1076</v>
      </c>
      <c r="L42" s="5" t="s">
        <v>949</v>
      </c>
      <c r="M42" s="5" t="s">
        <v>1118</v>
      </c>
      <c r="N42" s="5" t="s">
        <v>730</v>
      </c>
      <c r="O42" s="5" t="s">
        <v>758</v>
      </c>
      <c r="P42" t="s">
        <v>1732</v>
      </c>
      <c r="Q42" s="34" t="s">
        <v>322</v>
      </c>
      <c r="R42" s="5" t="s">
        <v>1310</v>
      </c>
      <c r="S42" s="5" t="s">
        <v>1795</v>
      </c>
      <c r="T42" s="5" t="s">
        <v>1121</v>
      </c>
      <c r="U42" s="34" t="s">
        <v>1606</v>
      </c>
      <c r="V42" s="5" t="s">
        <v>236</v>
      </c>
      <c r="W42" s="5" t="s">
        <v>1298</v>
      </c>
      <c r="X42" s="34" t="s">
        <v>628</v>
      </c>
      <c r="Y42" s="34" t="s">
        <v>90</v>
      </c>
      <c r="Z42" s="5" t="s">
        <v>846</v>
      </c>
      <c r="AA42" s="74" t="s">
        <v>1594</v>
      </c>
      <c r="AB42" s="88" t="s">
        <v>1550</v>
      </c>
      <c r="AC42" s="77" t="s">
        <v>500</v>
      </c>
      <c r="AD42" s="92" t="s">
        <v>28</v>
      </c>
      <c r="AE42" s="83" t="s">
        <v>171</v>
      </c>
      <c r="AN42" s="14">
        <f t="shared" si="16"/>
        <v>33.17570260670928</v>
      </c>
      <c r="AO42" s="11">
        <f t="shared" si="14"/>
        <v>0.13109994191499957</v>
      </c>
      <c r="AU42" s="7" t="s">
        <v>866</v>
      </c>
      <c r="AV42" s="27">
        <f>IF(AQ75=AR6,2,AV41)</f>
        <v>1</v>
      </c>
      <c r="AY42" s="33"/>
      <c r="AZ42" s="33"/>
      <c r="BB42" s="39">
        <v>13</v>
      </c>
      <c r="BC42" s="44">
        <f>LOOKUP(AZ$54,BD$5:CN$5,BD42:CN42)</f>
        <v>0</v>
      </c>
      <c r="BD42" s="44"/>
      <c r="BG42" s="43" t="str">
        <f>BE24</f>
        <v>G01 G40 X-0.625 Y-0.625</v>
      </c>
      <c r="BH42" s="43" t="str">
        <f>CONCATENATE(BB42,CP82,CQ82,CR82,CS82,CT82,CU82)</f>
        <v>13 L IX+0.625 IY-0.625 RL F53</v>
      </c>
      <c r="BI42" s="43" t="str">
        <f>CONCATENATE(DT42,DU42,DV42,DW42,DX42,DY42,DZ42)</f>
        <v>G01 G40 X-0.545 Y-0.545</v>
      </c>
      <c r="BJ42" s="43" t="str">
        <f>CONCATENATE(BB42,DT109,DU109,DV109,DW109,DX109,DY109)</f>
        <v>13 L IX+0.545 IY-0.545 RL F48</v>
      </c>
      <c r="BK42" s="43" t="str">
        <f>EI42</f>
        <v>END1</v>
      </c>
      <c r="BL42" s="43" t="str">
        <f>CONCATENATE(BB42,CP100,CQ100,CR100,CS100)</f>
        <v>13 CP IPA+90 IZ+0.188 DR+ F530</v>
      </c>
      <c r="BM42" s="43" t="str">
        <f>BG33</f>
        <v>G03 X0.625 Y0.625 Z0.188 I0. J0.625</v>
      </c>
      <c r="BN42" s="43" t="str">
        <f>CONCATENATE(BB42,CP100,CQ100,CR100,AX62*5)</f>
        <v>13 CP IPA+90 IZ+0.188 DR+ F440</v>
      </c>
      <c r="BO42" s="4" t="str">
        <f>BI33</f>
        <v>G03 X0.545 Y0.545 Z0.188 I0. J0.545</v>
      </c>
      <c r="BP42" s="43" t="str">
        <f>CONCATENATE(BB42,CP100,CQ100,CR100,AX68*5)</f>
        <v>13 CP IPA+90 IZ+0.188 DR+ F390</v>
      </c>
      <c r="BQ42" s="4" t="str">
        <f>CONCATENATE(EN42,EO42,EP42,EQ42)</f>
        <v>G00 Z0.624</v>
      </c>
      <c r="BR42" s="43" t="str">
        <f>CONCATENATE(BB42,EI121)</f>
        <v>13 FN 12: IF +Q2 LT +Q1 GOTO LBL 101</v>
      </c>
      <c r="BS42" s="43" t="str">
        <f>CONCATENATE(ES42,ET42,EU42,EV42)</f>
        <v>G00 Z-21.376</v>
      </c>
      <c r="BT42" s="43" t="str">
        <f>BR42</f>
        <v>13 FN 12: IF +Q2 LT +Q1 GOTO LBL 101</v>
      </c>
      <c r="BU42" s="43" t="str">
        <f>BS42</f>
        <v>G00 Z-21.376</v>
      </c>
      <c r="BV42" s="125" t="str">
        <f>BR42</f>
        <v>13 FN 12: IF +Q2 LT +Q1 GOTO LBL 101</v>
      </c>
      <c r="BX42" s="125" t="str">
        <f>CONCATENATE(BB42,EX103,FF27,EX91,FH27)</f>
        <v>13 CC IX+0.012 IY+1.286</v>
      </c>
      <c r="BY42" s="43" t="str">
        <f>BW15</f>
        <v>G03 X0.625 Y0.625 Z0.188 I0. J0.625</v>
      </c>
      <c r="BZ42" s="125" t="str">
        <f>CONCATENATE(BB42,EX103,FT27,EX91,FV27)</f>
        <v>13 CC IX+0.012 IY+1.022</v>
      </c>
      <c r="CA42" s="43" t="str">
        <f>BI33</f>
        <v>G03 X0.545 Y0.545 Z0.188 I0. J0.545</v>
      </c>
      <c r="CB42" s="125" t="str">
        <f>CONCATENATE(BB42,EX103,GH27,EX91,GJ27)</f>
        <v>13 CC IX+0.012 IY+0.882</v>
      </c>
      <c r="CD42" s="43" t="str">
        <f>CC24</f>
        <v>G03 X-0.625 C0.625 Z0.188 I-0.625 J0. F530</v>
      </c>
      <c r="CE42" s="43" t="str">
        <f>CONCATENATE(DT39,DU39,DV39,GR33,DX39,DY39,DZ39,EA39,EB39,EC39,ED39,EE39,EF39,EG39)</f>
        <v>G03 X-0.545 C0.545 Z0.188 I-0.545 J0. F475</v>
      </c>
      <c r="CF42" s="43" t="str">
        <f>BK39</f>
        <v>#2=#2+1</v>
      </c>
      <c r="CG42" s="43" t="str">
        <f>CD33</f>
        <v>G01 G41 X0.625 C-0.625 F53</v>
      </c>
      <c r="CH42" s="43" t="str">
        <f>CE33</f>
        <v>G01 G41 X0.545 C-0.545 F48</v>
      </c>
      <c r="CI42" s="43" t="str">
        <f>CC27</f>
        <v>G01 G40 X-0.625 C-0.625</v>
      </c>
      <c r="CJ42" s="43" t="str">
        <f>CD27</f>
        <v>G01 G40 X-0.493 C-0.493</v>
      </c>
      <c r="CK42" s="43" t="str">
        <f>CE27</f>
        <v>G01 G40 X-0.423 C-0.423</v>
      </c>
      <c r="CL42" s="43" t="str">
        <f>CC33</f>
        <v>G00 Z20.124</v>
      </c>
      <c r="CM42" s="43" t="str">
        <f>CL15</f>
        <v>G01 G41 X0.625 C-0.625 F53</v>
      </c>
      <c r="CN42" s="43" t="str">
        <f>CE33</f>
        <v>G01 G41 X0.545 C-0.545 F48</v>
      </c>
      <c r="CY42" s="18"/>
      <c r="DD42" s="45"/>
      <c r="DE42" s="18"/>
      <c r="DF42" s="18"/>
      <c r="DG42" s="18"/>
      <c r="DH42" s="18"/>
      <c r="DI42" s="18"/>
      <c r="DJ42" s="18"/>
      <c r="DK42" s="18"/>
      <c r="DL42" s="18"/>
      <c r="DM42" s="18"/>
      <c r="DN42" s="18"/>
      <c r="DO42" s="18"/>
      <c r="DP42" s="18"/>
      <c r="DQ42" s="18"/>
      <c r="DR42" s="18"/>
      <c r="DS42" s="48">
        <v>13</v>
      </c>
      <c r="DT42" s="18" t="s">
        <v>568</v>
      </c>
      <c r="DU42" s="18" t="s">
        <v>562</v>
      </c>
      <c r="DV42" s="18" t="s">
        <v>570</v>
      </c>
      <c r="DW42" s="18" t="str">
        <f>SUBSTITUTE(DW40,",",".")</f>
        <v>-0.545</v>
      </c>
      <c r="DX42" s="18" t="str">
        <f>IF(DW40=DW41,". Y"," Y")</f>
        <v xml:space="preserve"> Y</v>
      </c>
      <c r="DY42" s="18" t="str">
        <f>SUBSTITUTE(DY40,",",".")</f>
        <v>-0.545</v>
      </c>
      <c r="DZ42" s="18" t="str">
        <f>IF(DY40=DY41,".","")</f>
        <v/>
      </c>
      <c r="EA42" s="18"/>
      <c r="EB42" s="18"/>
      <c r="EC42" s="18"/>
      <c r="ED42" s="18"/>
      <c r="EE42" s="25"/>
      <c r="EF42" s="25"/>
      <c r="EG42" s="25"/>
      <c r="EH42" s="48">
        <v>13</v>
      </c>
      <c r="EI42" s="120" t="s">
        <v>845</v>
      </c>
      <c r="EM42" s="48">
        <v>13</v>
      </c>
      <c r="EN42" s="18" t="s">
        <v>565</v>
      </c>
      <c r="EO42" s="18" t="s">
        <v>567</v>
      </c>
      <c r="EP42" s="11" t="str">
        <f>SUBSTITUTE(EP40,",",".")</f>
        <v>0.624</v>
      </c>
      <c r="EQ42" s="18" t="str">
        <f>IF(EP40=EP41,".","")</f>
        <v/>
      </c>
      <c r="ER42" s="48">
        <v>13</v>
      </c>
      <c r="ES42" s="18" t="s">
        <v>565</v>
      </c>
      <c r="ET42" s="18" t="s">
        <v>567</v>
      </c>
      <c r="EU42" s="11" t="str">
        <f>SUBSTITUTE(EU40,",",".")</f>
        <v>-21.376</v>
      </c>
      <c r="EV42" s="18" t="str">
        <f>IF(EU40=EU41,".","")</f>
        <v/>
      </c>
    </row>
    <row r="43" spans="1:206" ht="20" customHeight="1">
      <c r="F43" s="161" t="str">
        <f>IF(BC123=0,"",BC123)</f>
        <v/>
      </c>
      <c r="H43" t="s">
        <v>670</v>
      </c>
      <c r="I43" s="5" t="str">
        <f t="shared" si="15"/>
        <v>Titanio, aleado, &lt; 900 N/mm2</v>
      </c>
      <c r="J43" s="5" t="s">
        <v>1899</v>
      </c>
      <c r="K43" s="63" t="s">
        <v>1034</v>
      </c>
      <c r="L43" s="5" t="s">
        <v>950</v>
      </c>
      <c r="M43" s="5" t="s">
        <v>1172</v>
      </c>
      <c r="N43" s="5" t="s">
        <v>639</v>
      </c>
      <c r="O43" s="5" t="s">
        <v>732</v>
      </c>
      <c r="P43" t="s">
        <v>1733</v>
      </c>
      <c r="Q43" s="34" t="s">
        <v>323</v>
      </c>
      <c r="R43" s="5" t="s">
        <v>1352</v>
      </c>
      <c r="S43" s="5" t="s">
        <v>1796</v>
      </c>
      <c r="T43" s="5" t="s">
        <v>1122</v>
      </c>
      <c r="U43" s="34" t="s">
        <v>1607</v>
      </c>
      <c r="V43" s="5" t="s">
        <v>237</v>
      </c>
      <c r="W43" s="5" t="s">
        <v>1299</v>
      </c>
      <c r="X43" s="34" t="s">
        <v>634</v>
      </c>
      <c r="Y43" s="34" t="s">
        <v>91</v>
      </c>
      <c r="Z43" s="5" t="s">
        <v>847</v>
      </c>
      <c r="AA43" s="74" t="s">
        <v>1595</v>
      </c>
      <c r="AB43" s="88" t="s">
        <v>1551</v>
      </c>
      <c r="AC43" s="77" t="s">
        <v>501</v>
      </c>
      <c r="AD43" s="92" t="s">
        <v>29</v>
      </c>
      <c r="AE43" s="83" t="s">
        <v>289</v>
      </c>
      <c r="AN43" s="14">
        <f t="shared" si="16"/>
        <v>36.825029893447301</v>
      </c>
      <c r="AO43" s="11">
        <f t="shared" si="14"/>
        <v>0.14420993610649954</v>
      </c>
      <c r="AY43" s="33"/>
      <c r="AZ43" s="33"/>
      <c r="BB43" s="39"/>
      <c r="BP43" s="43"/>
      <c r="CY43" s="18"/>
      <c r="DD43" s="45"/>
      <c r="DE43" s="18"/>
      <c r="DF43" s="18"/>
      <c r="DG43" s="18"/>
      <c r="DH43" s="18"/>
      <c r="DI43" s="18"/>
      <c r="DJ43" s="18"/>
      <c r="DK43" s="18"/>
      <c r="DL43" s="18"/>
      <c r="DM43" s="18"/>
      <c r="DN43" s="18"/>
      <c r="DO43" s="18"/>
      <c r="DP43" s="18"/>
      <c r="DQ43" s="18"/>
      <c r="DR43" s="18"/>
      <c r="DS43" s="48"/>
      <c r="DT43" s="18"/>
      <c r="DU43" s="18"/>
      <c r="DV43" s="11">
        <f>-DZ31-DZ34-DZ37</f>
        <v>-1.8759999999999999</v>
      </c>
      <c r="DW43" s="18"/>
      <c r="DX43" s="18"/>
      <c r="DY43" s="18"/>
      <c r="DZ43" s="18"/>
      <c r="EA43" s="18"/>
      <c r="EB43" s="18"/>
      <c r="EC43" s="18"/>
      <c r="ED43" s="18"/>
      <c r="EE43" s="25"/>
      <c r="EF43" s="25"/>
      <c r="EG43" s="25"/>
      <c r="EH43" s="48"/>
      <c r="EI43" s="120"/>
      <c r="EJ43" s="120"/>
      <c r="EK43" s="122">
        <f>ROUND((C16+C17)-(AV9*AV7),3)</f>
        <v>1</v>
      </c>
      <c r="EL43" s="120"/>
      <c r="GB43" s="33">
        <f>-(2*AW69)</f>
        <v>-1.0900000000000001</v>
      </c>
      <c r="GD43" s="33">
        <f>ROUND(2*AW69+(TAN(1.783*PI()/180)*AR6/4),3)</f>
        <v>1.1020000000000001</v>
      </c>
      <c r="GF43" s="33">
        <f>ROUND(AR6/4,3)</f>
        <v>0.375</v>
      </c>
      <c r="GH43" s="33">
        <f>-(2*AW69)</f>
        <v>-1.0900000000000001</v>
      </c>
      <c r="GJ43" s="33">
        <f>ROUND(TAN(1.783*PI()/180)*AR6/4,3)</f>
        <v>1.2E-2</v>
      </c>
    </row>
    <row r="44" spans="1:206" ht="20" customHeight="1">
      <c r="F44" s="161" t="str">
        <f>IF(BC126=0,"",BC126)</f>
        <v/>
      </c>
      <c r="H44" t="s">
        <v>835</v>
      </c>
      <c r="I44" s="5" t="str">
        <f t="shared" si="15"/>
        <v>Titanio, aleado, &lt; 1250 N/mm2</v>
      </c>
      <c r="J44" s="5" t="s">
        <v>1900</v>
      </c>
      <c r="K44" s="63" t="s">
        <v>1035</v>
      </c>
      <c r="L44" s="5" t="s">
        <v>1084</v>
      </c>
      <c r="M44" s="5" t="s">
        <v>1162</v>
      </c>
      <c r="N44" s="5" t="s">
        <v>718</v>
      </c>
      <c r="O44" s="5" t="s">
        <v>733</v>
      </c>
      <c r="P44" t="s">
        <v>1734</v>
      </c>
      <c r="Q44" s="34" t="s">
        <v>324</v>
      </c>
      <c r="R44" s="5" t="s">
        <v>1353</v>
      </c>
      <c r="S44" s="5" t="s">
        <v>1797</v>
      </c>
      <c r="T44" s="5" t="s">
        <v>1389</v>
      </c>
      <c r="U44" s="34" t="s">
        <v>1608</v>
      </c>
      <c r="V44" s="5" t="s">
        <v>238</v>
      </c>
      <c r="W44" s="5" t="s">
        <v>1300</v>
      </c>
      <c r="X44" s="34" t="s">
        <v>635</v>
      </c>
      <c r="Y44" s="34" t="s">
        <v>35</v>
      </c>
      <c r="Z44" s="5" t="s">
        <v>826</v>
      </c>
      <c r="AA44" s="74" t="s">
        <v>1596</v>
      </c>
      <c r="AB44" s="88" t="s">
        <v>1552</v>
      </c>
      <c r="AC44" s="77" t="s">
        <v>327</v>
      </c>
      <c r="AD44" s="92" t="s">
        <v>30</v>
      </c>
      <c r="AE44" s="83" t="s">
        <v>290</v>
      </c>
      <c r="AN44" s="14">
        <f t="shared" si="16"/>
        <v>40.875783181726504</v>
      </c>
      <c r="AO44" s="11">
        <f t="shared" si="14"/>
        <v>0.15863092971714951</v>
      </c>
      <c r="AY44" s="33"/>
      <c r="AZ44" s="33"/>
      <c r="BB44" s="39"/>
      <c r="BP44" s="43"/>
      <c r="CY44" s="18"/>
      <c r="DD44" s="45"/>
      <c r="DE44" s="18"/>
      <c r="DF44" s="18"/>
      <c r="DG44" s="18"/>
      <c r="DH44" s="18"/>
      <c r="DI44" s="18"/>
      <c r="DJ44" s="18"/>
      <c r="DK44" s="18"/>
      <c r="DL44" s="18"/>
      <c r="DM44" s="18"/>
      <c r="DN44" s="18"/>
      <c r="DO44" s="18"/>
      <c r="DP44" s="18"/>
      <c r="DQ44" s="18"/>
      <c r="DR44" s="18"/>
      <c r="DV44" s="25">
        <f>INT(DV43)</f>
        <v>-2</v>
      </c>
      <c r="EE44" s="25"/>
      <c r="EF44" s="25"/>
      <c r="EG44" s="25"/>
      <c r="EK44" s="119">
        <f>INT(EK43)</f>
        <v>1</v>
      </c>
      <c r="GB44" s="25">
        <f>INT(GB43)</f>
        <v>-2</v>
      </c>
      <c r="GD44" s="25">
        <f>INT(GD43)</f>
        <v>1</v>
      </c>
      <c r="GF44" s="25">
        <f>INT(GF43)</f>
        <v>0</v>
      </c>
      <c r="GH44" s="25">
        <f>INT(GH43)</f>
        <v>-2</v>
      </c>
      <c r="GJ44" s="25">
        <f>INT(GJ43)</f>
        <v>0</v>
      </c>
    </row>
    <row r="45" spans="1:206" ht="20" customHeight="1">
      <c r="F45" s="161" t="str">
        <f>IF(BC129=0,"",BC129)</f>
        <v/>
      </c>
      <c r="H45" t="s">
        <v>693</v>
      </c>
      <c r="I45" s="5" t="str">
        <f t="shared" si="15"/>
        <v>Níquel, no aleado, &lt; 500 N/mm2</v>
      </c>
      <c r="J45" s="5" t="s">
        <v>1901</v>
      </c>
      <c r="K45" s="63" t="s">
        <v>1036</v>
      </c>
      <c r="L45" s="5" t="s">
        <v>686</v>
      </c>
      <c r="M45" s="5" t="s">
        <v>1151</v>
      </c>
      <c r="N45" s="5" t="s">
        <v>973</v>
      </c>
      <c r="O45" s="5" t="s">
        <v>761</v>
      </c>
      <c r="P45" t="s">
        <v>1735</v>
      </c>
      <c r="Q45" s="34" t="s">
        <v>325</v>
      </c>
      <c r="R45" s="5" t="s">
        <v>1238</v>
      </c>
      <c r="S45" s="5" t="s">
        <v>1798</v>
      </c>
      <c r="T45" s="5" t="s">
        <v>1390</v>
      </c>
      <c r="U45" s="34" t="s">
        <v>1683</v>
      </c>
      <c r="V45" s="5" t="s">
        <v>239</v>
      </c>
      <c r="W45" s="5" t="s">
        <v>1301</v>
      </c>
      <c r="X45" s="34" t="s">
        <v>636</v>
      </c>
      <c r="Y45" s="34" t="s">
        <v>36</v>
      </c>
      <c r="Z45" s="5" t="s">
        <v>712</v>
      </c>
      <c r="AA45" s="74" t="s">
        <v>1597</v>
      </c>
      <c r="AB45" s="88" t="s">
        <v>1553</v>
      </c>
      <c r="AC45" s="77" t="s">
        <v>328</v>
      </c>
      <c r="AD45" s="92" t="s">
        <v>31</v>
      </c>
      <c r="AE45" s="83" t="s">
        <v>291</v>
      </c>
      <c r="AY45" s="33"/>
      <c r="AZ45" s="33"/>
      <c r="BB45" s="39">
        <v>14</v>
      </c>
      <c r="BC45" s="44">
        <f>LOOKUP(AZ$54,BD$5:CN$5,BD45:CN45)</f>
        <v>0</v>
      </c>
      <c r="BD45" s="44"/>
      <c r="BG45" s="43" t="str">
        <f>BE27</f>
        <v>G00 Z20.124</v>
      </c>
      <c r="BH45" s="43" t="str">
        <f>CONCATENATE(BB45,CP85,CQ85)</f>
        <v>14 CC IX+0 IY+0.625</v>
      </c>
      <c r="BI45" s="43" t="str">
        <f>CONCATENATE(DT45,DU45,DV45,DW45)</f>
        <v>G00 Z-1.876</v>
      </c>
      <c r="BJ45" s="43" t="str">
        <f>CONCATENATE(BB45,DT112,DU112)</f>
        <v>14 CC IX+0 IY+0.545</v>
      </c>
      <c r="BK45" s="43" t="str">
        <f>CONCATENATE(EI45,EJ45,EK45,EL45)</f>
        <v>G00 Z1.</v>
      </c>
      <c r="BL45" s="43" t="str">
        <f>CONCATENATE(BB45,CP103,CQ103,CR103,CS103,CT103)</f>
        <v>14 L IX-0.625 IY-0.625 R0</v>
      </c>
      <c r="BM45" s="43" t="str">
        <f>BG36</f>
        <v>G03 X0. Y0. Z1.5 I-1.25 J0. F106</v>
      </c>
      <c r="BN45" s="43" t="str">
        <f>CONCATENATE(BB45,DE103,DF103,DG103,DH103,DI103)</f>
        <v>14 L IX-0.493 IY-0.493 R0</v>
      </c>
      <c r="BO45" s="4" t="str">
        <f>BI36</f>
        <v>G03 X0. Y0. Z1.5 I-1.09 J0. F95</v>
      </c>
      <c r="BP45" s="43" t="str">
        <f>CONCATENATE(BB45,DT103,DU103,DV103,DW103,DX103)</f>
        <v>14 L IX-0.423 IY-0.423 R0</v>
      </c>
      <c r="BR45" s="43" t="str">
        <f>CONCATENATE(BB45,CP97,CQ97,CR97)</f>
        <v>14 CC IX-0.625 IY+0</v>
      </c>
      <c r="BS45" s="43" t="str">
        <f>BG30</f>
        <v>G01 G41 X0.625 Y-0.625 F53</v>
      </c>
      <c r="BT45" s="43" t="str">
        <f>CONCATENATE(BB45,DE97,DF97,DG97)</f>
        <v>14 CC IX-0.493 IY+0</v>
      </c>
      <c r="BU45" s="43" t="str">
        <f>BI30</f>
        <v>G01 G41 X0.545 Y-0.545 F48</v>
      </c>
      <c r="BV45" s="125" t="str">
        <f>CONCATENATE(BB45,DT97,DU97,DV97)</f>
        <v>14 CC IX-0.423 IY+0</v>
      </c>
      <c r="BX45" s="125" t="str">
        <f>CONCATENATE(BB45,CP88,FD27,CR88)</f>
        <v>14 CP IPA+90 IZ+0.375 DR+</v>
      </c>
      <c r="BY45" s="43" t="str">
        <f>BW18</f>
        <v>G03 X-1.25 Y1.262 Z0.375 I-1.25 J0.012 F106</v>
      </c>
      <c r="BZ45" s="125" t="str">
        <f>BX45</f>
        <v>14 CP IPA+90 IZ+0.375 DR+</v>
      </c>
      <c r="CA45" s="43" t="str">
        <f>CONCATENATE(FZ45,GA45,GB45,GC45,GD45,GE45,GF45,GG45,GH45,GI45,GJ45,GK45,GL45,AX69)</f>
        <v>G03 X-1.09 Y1.102 Z0.375 I-1.09 J0.012 F95</v>
      </c>
      <c r="CB45" s="125" t="str">
        <f>BZ45</f>
        <v>14 CP IPA+90 IZ+0.375 DR+</v>
      </c>
      <c r="CD45" s="43" t="str">
        <f>CC27</f>
        <v>G01 G40 X-0.625 C-0.625</v>
      </c>
      <c r="CE45" s="43" t="str">
        <f>CONCATENATE(DT42,DU42,DV42,DW42,GR33,DY42,DZ42)</f>
        <v>G01 G40 X-0.545 C-0.545</v>
      </c>
      <c r="CF45" s="43" t="str">
        <f>BK42</f>
        <v>END1</v>
      </c>
      <c r="CG45" s="43" t="str">
        <f>CD36</f>
        <v>G03 X0.625 C0.625 Z0.188 I0. J0.625</v>
      </c>
      <c r="CH45" s="43" t="str">
        <f>CE36</f>
        <v>G03 X0.545 C0.545 Z0.188 I0. J0.545</v>
      </c>
      <c r="CI45" s="43" t="str">
        <f>CC30</f>
        <v>G13.1</v>
      </c>
      <c r="CJ45" s="43" t="str">
        <f>BS42</f>
        <v>G00 Z-21.376</v>
      </c>
      <c r="CK45" s="43" t="str">
        <f>CJ45</f>
        <v>G00 Z-21.376</v>
      </c>
      <c r="CM45" s="43" t="str">
        <f>CL18</f>
        <v>G03 X0.625 C0.625 Z0.188 I0. J0.625</v>
      </c>
      <c r="CN45" s="43" t="str">
        <f>CE36</f>
        <v>G03 X0.545 C0.545 Z0.188 I0. J0.545</v>
      </c>
      <c r="CY45" s="18"/>
      <c r="DD45" s="45"/>
      <c r="DE45" s="18"/>
      <c r="DF45" s="18"/>
      <c r="DG45" s="18"/>
      <c r="DH45" s="18"/>
      <c r="DI45" s="18"/>
      <c r="DJ45" s="18"/>
      <c r="DK45" s="18"/>
      <c r="DL45" s="18"/>
      <c r="DM45" s="18"/>
      <c r="DN45" s="18"/>
      <c r="DO45" s="18"/>
      <c r="DP45" s="18"/>
      <c r="DQ45" s="18"/>
      <c r="DR45" s="18"/>
      <c r="DS45" s="48">
        <v>14</v>
      </c>
      <c r="DT45" s="18" t="s">
        <v>565</v>
      </c>
      <c r="DU45" s="18" t="s">
        <v>567</v>
      </c>
      <c r="DV45" s="18" t="str">
        <f>SUBSTITUTE(DV43,",",".")</f>
        <v>-1.876</v>
      </c>
      <c r="DW45" s="18" t="str">
        <f>IF(DV43=DV44,".","")</f>
        <v/>
      </c>
      <c r="DX45" s="18"/>
      <c r="DY45" s="18"/>
      <c r="DZ45" s="18"/>
      <c r="EA45" s="18"/>
      <c r="EB45" s="18"/>
      <c r="EC45" s="18"/>
      <c r="ED45" s="18"/>
      <c r="EE45" s="25"/>
      <c r="EF45" s="25"/>
      <c r="EG45" s="25"/>
      <c r="EH45" s="48">
        <v>14</v>
      </c>
      <c r="EI45" s="120" t="s">
        <v>565</v>
      </c>
      <c r="EJ45" s="120" t="s">
        <v>567</v>
      </c>
      <c r="EK45" s="120" t="str">
        <f>SUBSTITUTE(EK43,",",".")</f>
        <v>1</v>
      </c>
      <c r="EL45" s="120" t="str">
        <f>IF(EK43=EK44,".","")</f>
        <v>.</v>
      </c>
      <c r="FY45" s="48">
        <v>14</v>
      </c>
      <c r="FZ45" s="33" t="s">
        <v>571</v>
      </c>
      <c r="GA45" s="33" t="s">
        <v>570</v>
      </c>
      <c r="GB45" s="18" t="str">
        <f>SUBSTITUTE(GB43,",",".")</f>
        <v>-1.09</v>
      </c>
      <c r="GC45" s="18" t="str">
        <f>IF(GB43=GB44,". Y"," Y")</f>
        <v xml:space="preserve"> Y</v>
      </c>
      <c r="GD45" s="18" t="str">
        <f>SUBSTITUTE(GD43,",",".")</f>
        <v>1.102</v>
      </c>
      <c r="GE45" s="18" t="str">
        <f>IF(GD43=GD44,". Z"," Z")</f>
        <v xml:space="preserve"> Z</v>
      </c>
      <c r="GF45" s="18" t="str">
        <f>SUBSTITUTE(GF43,",",".")</f>
        <v>0.375</v>
      </c>
      <c r="GG45" s="18" t="str">
        <f>IF(GF43=GF44,". I"," I")</f>
        <v xml:space="preserve"> I</v>
      </c>
      <c r="GH45" s="18" t="str">
        <f>SUBSTITUTE(GH43,",",".")</f>
        <v>-1.09</v>
      </c>
      <c r="GI45" s="18" t="str">
        <f>IF(GH43=GH44,". J"," J")</f>
        <v xml:space="preserve"> J</v>
      </c>
      <c r="GJ45" s="18" t="str">
        <f>SUBSTITUTE(GJ43,",",".")</f>
        <v>0.012</v>
      </c>
      <c r="GK45" s="18" t="str">
        <f>IF(GJ43=GJ44,".","")</f>
        <v/>
      </c>
      <c r="GL45" s="18" t="s">
        <v>2341</v>
      </c>
      <c r="GW45" s="48"/>
    </row>
    <row r="46" spans="1:206" ht="20" customHeight="1">
      <c r="F46" s="161" t="str">
        <f>IF(BC132=0,"",BC132)</f>
        <v/>
      </c>
      <c r="H46" s="88" t="s">
        <v>1520</v>
      </c>
      <c r="I46" s="5" t="str">
        <f t="shared" si="15"/>
        <v>Níquel, aleado, &lt; 900 N/mm2</v>
      </c>
      <c r="J46" s="5" t="s">
        <v>1902</v>
      </c>
      <c r="K46" s="63" t="s">
        <v>1037</v>
      </c>
      <c r="L46" s="5" t="s">
        <v>828</v>
      </c>
      <c r="M46" s="5" t="s">
        <v>1152</v>
      </c>
      <c r="N46" s="5" t="s">
        <v>1018</v>
      </c>
      <c r="O46" s="5" t="s">
        <v>762</v>
      </c>
      <c r="P46" t="s">
        <v>1736</v>
      </c>
      <c r="Q46" s="34" t="s">
        <v>326</v>
      </c>
      <c r="R46" s="5" t="s">
        <v>1239</v>
      </c>
      <c r="S46" s="5" t="s">
        <v>1799</v>
      </c>
      <c r="T46" s="5" t="s">
        <v>1391</v>
      </c>
      <c r="U46" s="34" t="s">
        <v>1684</v>
      </c>
      <c r="V46" s="5" t="s">
        <v>240</v>
      </c>
      <c r="W46" s="5" t="s">
        <v>1302</v>
      </c>
      <c r="X46" s="34" t="s">
        <v>637</v>
      </c>
      <c r="Y46" s="34" t="s">
        <v>37</v>
      </c>
      <c r="Z46" s="5" t="s">
        <v>822</v>
      </c>
      <c r="AA46" s="74" t="s">
        <v>1598</v>
      </c>
      <c r="AB46" s="88" t="s">
        <v>1554</v>
      </c>
      <c r="AC46" s="77" t="s">
        <v>329</v>
      </c>
      <c r="AD46" s="92" t="s">
        <v>32</v>
      </c>
      <c r="AE46" s="83" t="s">
        <v>292</v>
      </c>
      <c r="AY46" s="33"/>
      <c r="AZ46" s="33"/>
      <c r="BB46" s="39"/>
      <c r="BP46" s="43"/>
      <c r="CY46" s="18"/>
      <c r="DD46" s="45"/>
      <c r="DE46" s="18"/>
      <c r="DF46" s="18"/>
      <c r="DG46" s="18"/>
      <c r="DH46" s="18"/>
      <c r="DI46" s="18"/>
      <c r="DJ46" s="18"/>
      <c r="DK46" s="18"/>
      <c r="DL46" s="18"/>
      <c r="DM46" s="18"/>
      <c r="DN46" s="18"/>
      <c r="DO46" s="18"/>
      <c r="DP46" s="18"/>
      <c r="DQ46" s="18"/>
      <c r="DR46" s="18"/>
      <c r="DS46" s="48"/>
      <c r="DT46" s="18"/>
      <c r="DU46" s="18"/>
      <c r="DV46" s="18"/>
      <c r="DW46" s="18"/>
      <c r="DX46" s="18"/>
      <c r="DY46" s="18"/>
      <c r="DZ46" s="18"/>
      <c r="EA46" s="18"/>
      <c r="EB46" s="18"/>
      <c r="EC46" s="18"/>
      <c r="ED46" s="18"/>
      <c r="EE46" s="18"/>
      <c r="EF46" s="18"/>
      <c r="EG46" s="18"/>
      <c r="EH46" s="48"/>
      <c r="GB46" s="33">
        <f>-(GD43+GJ43)</f>
        <v>-1.1140000000000001</v>
      </c>
      <c r="GD46" s="33">
        <f>-GD43</f>
        <v>-1.1020000000000001</v>
      </c>
      <c r="GF46" s="33">
        <f>GF43</f>
        <v>0.375</v>
      </c>
      <c r="GH46" s="33">
        <f>-GJ43</f>
        <v>-1.2E-2</v>
      </c>
      <c r="GJ46" s="33">
        <f>GD46</f>
        <v>-1.1020000000000001</v>
      </c>
    </row>
    <row r="47" spans="1:206" ht="20" customHeight="1">
      <c r="F47" s="161" t="str">
        <f>IF(BC135=0,"",BC135)</f>
        <v/>
      </c>
      <c r="H47" t="s">
        <v>549</v>
      </c>
      <c r="I47" s="5" t="str">
        <f t="shared" si="15"/>
        <v>Níquel, aleado, &lt; 1250 N/mm2</v>
      </c>
      <c r="J47" s="5" t="s">
        <v>1903</v>
      </c>
      <c r="K47" s="63" t="s">
        <v>1280</v>
      </c>
      <c r="L47" s="5" t="s">
        <v>579</v>
      </c>
      <c r="M47" s="5" t="s">
        <v>1094</v>
      </c>
      <c r="N47" s="5" t="s">
        <v>716</v>
      </c>
      <c r="O47" s="5" t="s">
        <v>734</v>
      </c>
      <c r="P47" t="s">
        <v>1737</v>
      </c>
      <c r="Q47" s="34" t="s">
        <v>334</v>
      </c>
      <c r="R47" s="5" t="s">
        <v>1240</v>
      </c>
      <c r="S47" s="5" t="s">
        <v>1800</v>
      </c>
      <c r="T47" s="5" t="s">
        <v>1392</v>
      </c>
      <c r="U47" s="34" t="s">
        <v>1685</v>
      </c>
      <c r="V47" s="5" t="s">
        <v>241</v>
      </c>
      <c r="W47" s="5" t="s">
        <v>1344</v>
      </c>
      <c r="X47" s="34" t="s">
        <v>617</v>
      </c>
      <c r="Y47" s="34" t="s">
        <v>38</v>
      </c>
      <c r="Z47" s="5" t="s">
        <v>990</v>
      </c>
      <c r="AA47" s="74" t="s">
        <v>1599</v>
      </c>
      <c r="AB47" s="88" t="s">
        <v>1645</v>
      </c>
      <c r="AC47" s="77" t="s">
        <v>330</v>
      </c>
      <c r="AD47" s="92" t="s">
        <v>33</v>
      </c>
      <c r="AE47" s="83" t="s">
        <v>293</v>
      </c>
      <c r="AG47" s="7" t="s">
        <v>2348</v>
      </c>
      <c r="AH47" s="15"/>
      <c r="AI47" s="15" t="s">
        <v>662</v>
      </c>
      <c r="AJ47" s="9"/>
      <c r="AK47" s="10"/>
      <c r="AL47" s="10"/>
      <c r="AM47" s="7"/>
      <c r="AN47" s="10"/>
      <c r="AO47" s="10"/>
      <c r="AP47" s="10"/>
      <c r="AQ47" s="10"/>
      <c r="AR47" s="10"/>
      <c r="AU47" s="7"/>
      <c r="AV47" s="25">
        <f>C16/AR6-0.001</f>
        <v>13.332333333333334</v>
      </c>
      <c r="AY47" s="33"/>
      <c r="AZ47" s="33"/>
      <c r="BB47" s="39"/>
      <c r="BP47" s="43"/>
      <c r="CY47" s="18"/>
      <c r="DE47" s="18"/>
      <c r="DF47" s="18"/>
      <c r="DG47" s="18"/>
      <c r="DH47" s="18"/>
      <c r="DI47" s="18"/>
      <c r="DJ47" s="18"/>
      <c r="DK47" s="18"/>
      <c r="DL47" s="18"/>
      <c r="DM47" s="18"/>
      <c r="DN47" s="18"/>
      <c r="DO47" s="18"/>
      <c r="DP47" s="18"/>
      <c r="DQ47" s="18"/>
      <c r="DR47" s="18"/>
      <c r="DT47" s="18"/>
      <c r="DU47" s="18"/>
      <c r="DV47" s="18"/>
      <c r="DW47" s="18"/>
      <c r="DX47" s="18"/>
      <c r="DY47" s="18"/>
      <c r="DZ47" s="18"/>
      <c r="EA47" s="18"/>
      <c r="EB47" s="18"/>
      <c r="EC47" s="18"/>
      <c r="ED47" s="18"/>
      <c r="EE47" s="18"/>
      <c r="EF47" s="18"/>
      <c r="EG47" s="18"/>
      <c r="GB47" s="25">
        <f>INT(GB46)</f>
        <v>-2</v>
      </c>
      <c r="GD47" s="25">
        <f>INT(GD46)</f>
        <v>-2</v>
      </c>
      <c r="GF47" s="25">
        <f>INT(GF46)</f>
        <v>0</v>
      </c>
      <c r="GH47" s="25">
        <f>INT(GH46)</f>
        <v>-1</v>
      </c>
      <c r="GJ47" s="25">
        <f>INT(GJ46)</f>
        <v>-2</v>
      </c>
    </row>
    <row r="48" spans="1:206" ht="20" customHeight="1">
      <c r="F48" s="161" t="str">
        <f>IF(BC138=0,"",BC138)</f>
        <v/>
      </c>
      <c r="H48" s="101" t="s">
        <v>154</v>
      </c>
      <c r="I48" s="5" t="str">
        <f t="shared" si="15"/>
        <v>Cobre, no aleado, &lt; 350 N/mm2</v>
      </c>
      <c r="J48" s="34" t="s">
        <v>1904</v>
      </c>
      <c r="K48" s="63" t="s">
        <v>1206</v>
      </c>
      <c r="L48" s="5" t="s">
        <v>773</v>
      </c>
      <c r="M48" s="5" t="s">
        <v>1095</v>
      </c>
      <c r="N48" s="5" t="s">
        <v>717</v>
      </c>
      <c r="O48" s="5" t="s">
        <v>885</v>
      </c>
      <c r="P48" t="s">
        <v>1738</v>
      </c>
      <c r="Q48" s="34" t="s">
        <v>438</v>
      </c>
      <c r="R48" s="5" t="s">
        <v>1305</v>
      </c>
      <c r="S48" s="5" t="s">
        <v>1801</v>
      </c>
      <c r="T48" s="5" t="s">
        <v>1393</v>
      </c>
      <c r="U48" s="34" t="s">
        <v>1686</v>
      </c>
      <c r="V48" s="5" t="s">
        <v>242</v>
      </c>
      <c r="W48" s="5" t="s">
        <v>1345</v>
      </c>
      <c r="X48" s="34" t="s">
        <v>618</v>
      </c>
      <c r="Y48" s="34" t="s">
        <v>39</v>
      </c>
      <c r="Z48" s="5" t="s">
        <v>742</v>
      </c>
      <c r="AA48" s="74" t="s">
        <v>1600</v>
      </c>
      <c r="AB48" s="88" t="s">
        <v>1634</v>
      </c>
      <c r="AC48" s="77" t="s">
        <v>385</v>
      </c>
      <c r="AD48" s="92" t="s">
        <v>68</v>
      </c>
      <c r="AE48" s="83" t="s">
        <v>294</v>
      </c>
      <c r="AG48" s="13"/>
      <c r="AH48" s="15" t="s">
        <v>1009</v>
      </c>
      <c r="AI48" s="15">
        <v>1</v>
      </c>
      <c r="AJ48" s="15">
        <f>AI48+1</f>
        <v>2</v>
      </c>
      <c r="AK48" s="15">
        <f t="shared" ref="AK48:AR48" si="18">AJ48+1</f>
        <v>3</v>
      </c>
      <c r="AL48" s="15">
        <f t="shared" si="18"/>
        <v>4</v>
      </c>
      <c r="AM48" s="15">
        <f t="shared" si="18"/>
        <v>5</v>
      </c>
      <c r="AN48" s="15">
        <f t="shared" si="18"/>
        <v>6</v>
      </c>
      <c r="AO48" s="15">
        <f t="shared" si="18"/>
        <v>7</v>
      </c>
      <c r="AP48" s="15">
        <f t="shared" si="18"/>
        <v>8</v>
      </c>
      <c r="AQ48" s="15">
        <f t="shared" si="18"/>
        <v>9</v>
      </c>
      <c r="AR48" s="15">
        <f t="shared" si="18"/>
        <v>10</v>
      </c>
      <c r="AU48" s="7" t="s">
        <v>560</v>
      </c>
      <c r="AV48" s="49">
        <f>INT(AV47)+1</f>
        <v>14</v>
      </c>
      <c r="AY48" s="33"/>
      <c r="AZ48" s="33"/>
      <c r="BB48" s="39">
        <v>15</v>
      </c>
      <c r="BC48" s="44">
        <f>LOOKUP(AZ$54,BD$5:CN$5,BD48:CN48)</f>
        <v>0</v>
      </c>
      <c r="BD48" s="44"/>
      <c r="BH48" s="43" t="str">
        <f>CONCATENATE(BB48,CP88,CQ88,CR88)</f>
        <v>15 CP IPA+90 IZ+0.188 DR+</v>
      </c>
      <c r="BI48" s="43" t="str">
        <f>BE12</f>
        <v>G01 G41 X0.625 Y-0.625 F53</v>
      </c>
      <c r="BJ48" s="43" t="str">
        <f>BH48</f>
        <v>15 CP IPA+90 IZ+0.188 DR+</v>
      </c>
      <c r="BL48" s="43" t="str">
        <f>CONCATENATE(BB48,CP106,EJ115,CR106)</f>
        <v>15 L IZ+19.125 FMAX</v>
      </c>
      <c r="BM48" s="43" t="str">
        <f>BG39</f>
        <v>G03 X-0.625 Y0.625 Z0.188 I-0.625 J0. F530</v>
      </c>
      <c r="BN48" s="43" t="str">
        <f>CONCATENATE(BB48,DE106,DF106,DG106)</f>
        <v>15 L IZ-1.876 FMAX</v>
      </c>
      <c r="BO48" s="4" t="str">
        <f>BI39</f>
        <v>G03 X-0.545 Y0.545 Z0.188 I-0.545 J0. F475</v>
      </c>
      <c r="BP48" s="43" t="str">
        <f>CONCATENATE(BB48,DT106,DU106,DV106)</f>
        <v>15 L IZ-1.876 FMAX</v>
      </c>
      <c r="BR48" s="43" t="str">
        <f>CONCATENATE(BB48,CP100,CQ100,CR100,CS100)</f>
        <v>15 CP IPA+90 IZ+0.188 DR+ F530</v>
      </c>
      <c r="BS48" s="43" t="str">
        <f>BG33</f>
        <v>G03 X0.625 Y0.625 Z0.188 I0. J0.625</v>
      </c>
      <c r="BT48" s="43" t="str">
        <f>CONCATENATE(BB48,CP100,CQ100,CR100,AX62*5)</f>
        <v>15 CP IPA+90 IZ+0.188 DR+ F440</v>
      </c>
      <c r="BU48" s="43" t="str">
        <f>BI33</f>
        <v>G03 X0.545 Y0.545 Z0.188 I0. J0.545</v>
      </c>
      <c r="BV48" s="125" t="str">
        <f>CONCATENATE(BB48,CP100,CQ100,CR100,AX68*5)</f>
        <v>15 CP IPA+90 IZ+0.188 DR+ F390</v>
      </c>
      <c r="BX48" s="125" t="str">
        <f>CONCATENATE(BB48,CP97,CQ97,CR97)</f>
        <v>15 CC IX-0.625 IY+0</v>
      </c>
      <c r="BY48" s="43" t="str">
        <f>BW21</f>
        <v>G03 X-1.274 Y-1.262 Z0.375 I-0.012 J-1.262</v>
      </c>
      <c r="BZ48" s="125" t="str">
        <f>CONCATENATE(BB48,DE97,DF97,DG97)</f>
        <v>15 CC IX-0.493 IY+0</v>
      </c>
      <c r="CA48" s="43" t="str">
        <f>CONCATENATE(FZ48,GA48,GB48,GC48,GD48,GE48,GF48,GG48,GH48,GI48,GJ48,GK48)</f>
        <v>G03 X-1.114 Y-1.102 Z0.375 I-0.012 J-1.102</v>
      </c>
      <c r="CB48" s="125" t="str">
        <f>CONCATENATE(BB48,DT97,DU97,DV97)</f>
        <v>15 CC IX-0.423 IY+0</v>
      </c>
      <c r="CD48" s="43" t="str">
        <f>CC30</f>
        <v>G13.1</v>
      </c>
      <c r="CE48" s="43" t="str">
        <f>BG27</f>
        <v>G00 Z-1.876</v>
      </c>
      <c r="CF48" s="43" t="str">
        <f>CC30</f>
        <v>G13.1</v>
      </c>
      <c r="CG48" s="43" t="str">
        <f>CD39</f>
        <v>G03 X0. C0. Z1.5 I-1.25 J0. F106</v>
      </c>
      <c r="CH48" s="43" t="str">
        <f>CE39</f>
        <v>G03 X0. C0. Z1.5 I-1.09 J0. F95</v>
      </c>
      <c r="CI48" s="43" t="str">
        <f>BQ42</f>
        <v>G00 Z0.624</v>
      </c>
      <c r="CJ48" s="43" t="str">
        <f>CD33</f>
        <v>G01 G41 X0.625 C-0.625 F53</v>
      </c>
      <c r="CK48" s="43" t="str">
        <f>CE33</f>
        <v>G01 G41 X0.545 C-0.545 F48</v>
      </c>
      <c r="CM48" s="43" t="str">
        <f>CL21</f>
        <v>G03 X-1.25 C1.262 Z0.375 I-1.25 J0.012 F106</v>
      </c>
      <c r="CN48" s="43" t="str">
        <f>CONCATENATE(FZ45,GA45,GB45,GX48,GD45,GE45,GF45,GG45,GH45,GI45,GJ45,GK45,GL45,AX69)</f>
        <v>G03 X-1.09 C1.102 Z0.375 I-1.09 J0.012 F95</v>
      </c>
      <c r="CY48" s="18"/>
      <c r="DE48" s="18"/>
      <c r="DF48" s="18"/>
      <c r="DG48" s="18"/>
      <c r="DH48" s="18"/>
      <c r="DI48" s="18"/>
      <c r="DJ48" s="18"/>
      <c r="DK48" s="18"/>
      <c r="DL48" s="18"/>
      <c r="DM48" s="18"/>
      <c r="DN48" s="18"/>
      <c r="DO48" s="18"/>
      <c r="DP48" s="18"/>
      <c r="DQ48" s="18"/>
      <c r="DR48" s="18"/>
      <c r="DT48" s="18"/>
      <c r="DU48" s="18"/>
      <c r="DV48" s="18"/>
      <c r="DW48" s="18"/>
      <c r="DX48" s="18"/>
      <c r="DY48" s="18"/>
      <c r="DZ48" s="18"/>
      <c r="EA48" s="18"/>
      <c r="EB48" s="18"/>
      <c r="EC48" s="18"/>
      <c r="ED48" s="18"/>
      <c r="EE48" s="18"/>
      <c r="EF48" s="18"/>
      <c r="EG48" s="18"/>
      <c r="FY48" s="48">
        <v>15</v>
      </c>
      <c r="FZ48" s="33" t="s">
        <v>571</v>
      </c>
      <c r="GA48" s="33" t="s">
        <v>570</v>
      </c>
      <c r="GB48" s="18" t="str">
        <f>SUBSTITUTE(GB46,",",".")</f>
        <v>-1.114</v>
      </c>
      <c r="GC48" s="18" t="str">
        <f>IF(GB46=GB47,". Y"," Y")</f>
        <v xml:space="preserve"> Y</v>
      </c>
      <c r="GD48" s="18" t="str">
        <f>SUBSTITUTE(GD46,",",".")</f>
        <v>-1.102</v>
      </c>
      <c r="GE48" s="18" t="str">
        <f>IF(GD46=GD47,". Z"," Z")</f>
        <v xml:space="preserve"> Z</v>
      </c>
      <c r="GF48" s="18" t="str">
        <f>SUBSTITUTE(GF46,",",".")</f>
        <v>0.375</v>
      </c>
      <c r="GG48" s="18" t="str">
        <f>IF(GF46=GF47,". I"," I")</f>
        <v xml:space="preserve"> I</v>
      </c>
      <c r="GH48" s="18" t="str">
        <f>SUBSTITUTE(GH46,",",".")</f>
        <v>-0.012</v>
      </c>
      <c r="GI48" s="18" t="str">
        <f>IF(GH46=GH47,". J"," J")</f>
        <v xml:space="preserve"> J</v>
      </c>
      <c r="GJ48" s="18" t="str">
        <f>SUBSTITUTE(GJ46,",",".")</f>
        <v>-1.102</v>
      </c>
      <c r="GK48" s="18" t="str">
        <f>IF(GJ46=GJ47,".","")</f>
        <v/>
      </c>
      <c r="GL48" s="18"/>
      <c r="GW48" s="48">
        <v>15</v>
      </c>
      <c r="GX48" s="33" t="str">
        <f>IF(GB43=GB44,". C"," C")</f>
        <v xml:space="preserve"> C</v>
      </c>
    </row>
    <row r="49" spans="6:206" ht="20" customHeight="1">
      <c r="F49" s="161" t="str">
        <f>IF(BC141=0,"",BC141)</f>
        <v/>
      </c>
      <c r="H49" t="s">
        <v>1637</v>
      </c>
      <c r="I49" s="5" t="str">
        <f t="shared" si="15"/>
        <v>Cobre, latón, bronze, &lt; 700 N/mm2</v>
      </c>
      <c r="J49" s="5" t="s">
        <v>1905</v>
      </c>
      <c r="K49" s="63" t="s">
        <v>1207</v>
      </c>
      <c r="L49" s="5" t="s">
        <v>793</v>
      </c>
      <c r="M49" s="5" t="s">
        <v>1096</v>
      </c>
      <c r="N49" s="5" t="s">
        <v>724</v>
      </c>
      <c r="O49" s="5" t="s">
        <v>933</v>
      </c>
      <c r="P49" t="s">
        <v>1739</v>
      </c>
      <c r="Q49" s="34" t="s">
        <v>439</v>
      </c>
      <c r="R49" s="5" t="s">
        <v>1306</v>
      </c>
      <c r="S49" s="5" t="s">
        <v>1802</v>
      </c>
      <c r="T49" s="5" t="s">
        <v>1333</v>
      </c>
      <c r="U49" s="34" t="s">
        <v>1687</v>
      </c>
      <c r="V49" s="5" t="s">
        <v>243</v>
      </c>
      <c r="W49" s="5" t="s">
        <v>1346</v>
      </c>
      <c r="X49" s="34" t="s">
        <v>705</v>
      </c>
      <c r="Y49" s="34" t="s">
        <v>40</v>
      </c>
      <c r="Z49" s="5" t="s">
        <v>736</v>
      </c>
      <c r="AA49" s="74" t="s">
        <v>1508</v>
      </c>
      <c r="AB49" s="88" t="s">
        <v>1546</v>
      </c>
      <c r="AC49" s="77" t="s">
        <v>387</v>
      </c>
      <c r="AD49" s="92" t="s">
        <v>69</v>
      </c>
      <c r="AE49" s="83" t="s">
        <v>295</v>
      </c>
      <c r="AG49" s="13"/>
      <c r="AH49" s="7" t="s">
        <v>907</v>
      </c>
      <c r="AI49" s="16">
        <v>5.0000000000000001E-3</v>
      </c>
      <c r="AJ49" s="16">
        <v>5.7000000000000002E-2</v>
      </c>
      <c r="AK49" s="16">
        <f t="shared" ref="AK49:AR49" si="19">AJ49*1.14</f>
        <v>6.4979999999999996E-2</v>
      </c>
      <c r="AL49" s="16">
        <f t="shared" si="19"/>
        <v>7.4077199999999996E-2</v>
      </c>
      <c r="AM49" s="16">
        <f t="shared" si="19"/>
        <v>8.4448007999999991E-2</v>
      </c>
      <c r="AN49" s="16">
        <f t="shared" si="19"/>
        <v>9.6270729119999982E-2</v>
      </c>
      <c r="AO49" s="16">
        <f t="shared" si="19"/>
        <v>0.10974863119679996</v>
      </c>
      <c r="AP49" s="16">
        <f t="shared" si="19"/>
        <v>0.12511343956435195</v>
      </c>
      <c r="AQ49" s="16">
        <f t="shared" si="19"/>
        <v>0.14262932110336121</v>
      </c>
      <c r="AR49" s="16">
        <f t="shared" si="19"/>
        <v>0.16259742605783176</v>
      </c>
      <c r="AY49" s="33"/>
      <c r="AZ49" s="33"/>
      <c r="BB49" s="39"/>
      <c r="BP49" s="43"/>
      <c r="CY49" s="18"/>
      <c r="DT49" s="18"/>
      <c r="DU49" s="18"/>
      <c r="DV49" s="18"/>
      <c r="DW49" s="18"/>
      <c r="DX49" s="18"/>
      <c r="DY49" s="18"/>
      <c r="DZ49" s="18"/>
      <c r="EA49" s="18"/>
      <c r="EB49" s="18"/>
      <c r="EC49" s="18"/>
      <c r="ED49" s="18"/>
      <c r="EE49" s="18"/>
      <c r="EF49" s="18"/>
      <c r="EG49" s="18"/>
      <c r="GB49" s="33">
        <f>-GB46</f>
        <v>1.1140000000000001</v>
      </c>
      <c r="GD49" s="33">
        <f>GB46+GH46</f>
        <v>-1.1260000000000001</v>
      </c>
      <c r="GF49" s="33">
        <f>GF43</f>
        <v>0.375</v>
      </c>
      <c r="GH49" s="33">
        <f>GB49</f>
        <v>1.1140000000000001</v>
      </c>
      <c r="GJ49" s="33">
        <f>-GJ43</f>
        <v>-1.2E-2</v>
      </c>
    </row>
    <row r="50" spans="6:206" ht="20" customHeight="1">
      <c r="F50" s="161" t="str">
        <f>IF(BC144=0,"",BC144)</f>
        <v/>
      </c>
      <c r="H50" t="s">
        <v>66</v>
      </c>
      <c r="I50" s="5" t="str">
        <f t="shared" si="15"/>
        <v>Cobre, bronze de alta resistencia, &lt; 1500 N/mm2</v>
      </c>
      <c r="J50" s="34" t="s">
        <v>1906</v>
      </c>
      <c r="K50" s="63" t="s">
        <v>1208</v>
      </c>
      <c r="L50" s="5" t="s">
        <v>899</v>
      </c>
      <c r="M50" s="5" t="s">
        <v>1097</v>
      </c>
      <c r="N50" s="5" t="s">
        <v>824</v>
      </c>
      <c r="O50" s="5" t="s">
        <v>1004</v>
      </c>
      <c r="P50" t="s">
        <v>1740</v>
      </c>
      <c r="Q50" s="34" t="s">
        <v>417</v>
      </c>
      <c r="R50" s="5" t="s">
        <v>1307</v>
      </c>
      <c r="S50" s="5" t="s">
        <v>1803</v>
      </c>
      <c r="T50" s="5" t="s">
        <v>1334</v>
      </c>
      <c r="U50" s="34" t="s">
        <v>1688</v>
      </c>
      <c r="V50" s="5" t="s">
        <v>264</v>
      </c>
      <c r="W50" s="5" t="s">
        <v>1347</v>
      </c>
      <c r="X50" s="34" t="s">
        <v>706</v>
      </c>
      <c r="Y50" s="34" t="s">
        <v>41</v>
      </c>
      <c r="Z50" s="5" t="s">
        <v>735</v>
      </c>
      <c r="AA50" s="74" t="s">
        <v>1413</v>
      </c>
      <c r="AB50" s="88" t="s">
        <v>1547</v>
      </c>
      <c r="AC50" s="77" t="s">
        <v>388</v>
      </c>
      <c r="AD50" s="92" t="s">
        <v>70</v>
      </c>
      <c r="AE50" s="83" t="s">
        <v>296</v>
      </c>
      <c r="AG50" s="17">
        <v>100</v>
      </c>
      <c r="AH50" s="7">
        <v>0.1</v>
      </c>
      <c r="AI50" s="10">
        <v>1.75</v>
      </c>
      <c r="AJ50" s="10">
        <f>AI50/1.1</f>
        <v>1.5909090909090908</v>
      </c>
      <c r="AK50" s="10">
        <f>AJ50/1.1</f>
        <v>1.446280991735537</v>
      </c>
      <c r="AL50" s="10">
        <f t="shared" ref="AL50:AR50" si="20">AK50/1.1</f>
        <v>1.3148009015777609</v>
      </c>
      <c r="AM50" s="10">
        <f t="shared" si="20"/>
        <v>1.1952735468888733</v>
      </c>
      <c r="AN50" s="10">
        <f t="shared" si="20"/>
        <v>1.0866123153535212</v>
      </c>
      <c r="AO50" s="10">
        <f t="shared" si="20"/>
        <v>0.98782937759411016</v>
      </c>
      <c r="AP50" s="10">
        <f t="shared" si="20"/>
        <v>0.89802670690373643</v>
      </c>
      <c r="AQ50" s="10">
        <f t="shared" si="20"/>
        <v>0.81638791536703303</v>
      </c>
      <c r="AR50" s="10">
        <f t="shared" si="20"/>
        <v>0.7421708321518482</v>
      </c>
      <c r="AY50" s="33"/>
      <c r="AZ50" s="33"/>
      <c r="BB50" s="39"/>
      <c r="BP50" s="43"/>
      <c r="CY50" s="18"/>
      <c r="DT50" s="18"/>
      <c r="DU50" s="18"/>
      <c r="DV50" s="18"/>
      <c r="DW50" s="18"/>
      <c r="DX50" s="18"/>
      <c r="DY50" s="18"/>
      <c r="DZ50" s="18"/>
      <c r="EA50" s="18"/>
      <c r="EB50" s="18"/>
      <c r="EC50" s="18"/>
      <c r="ED50" s="18"/>
      <c r="EE50" s="18"/>
      <c r="EF50" s="18"/>
      <c r="EG50" s="18"/>
      <c r="GB50" s="25">
        <f>INT(GB49)</f>
        <v>1</v>
      </c>
      <c r="GD50" s="25">
        <f>INT(GD49)</f>
        <v>-2</v>
      </c>
      <c r="GF50" s="25">
        <f>INT(GF49)</f>
        <v>0</v>
      </c>
      <c r="GH50" s="25">
        <f>INT(GH49)</f>
        <v>1</v>
      </c>
      <c r="GJ50" s="25">
        <f>INT(GJ49)</f>
        <v>-1</v>
      </c>
    </row>
    <row r="51" spans="6:206" ht="20" customHeight="1">
      <c r="F51" s="161" t="str">
        <f>IF(BC147=0,"",BC147)</f>
        <v/>
      </c>
      <c r="I51" s="5" t="str">
        <f t="shared" si="15"/>
        <v>Aluminio, no aleado</v>
      </c>
      <c r="J51" s="34" t="s">
        <v>1907</v>
      </c>
      <c r="K51" s="63" t="s">
        <v>1209</v>
      </c>
      <c r="L51" s="5" t="s">
        <v>900</v>
      </c>
      <c r="M51" s="5" t="s">
        <v>1098</v>
      </c>
      <c r="N51" s="5" t="s">
        <v>825</v>
      </c>
      <c r="O51" s="5" t="s">
        <v>944</v>
      </c>
      <c r="P51" t="s">
        <v>1741</v>
      </c>
      <c r="Q51" s="34" t="s">
        <v>418</v>
      </c>
      <c r="R51" s="5" t="s">
        <v>1308</v>
      </c>
      <c r="S51" s="5" t="s">
        <v>1804</v>
      </c>
      <c r="T51" s="5" t="s">
        <v>1335</v>
      </c>
      <c r="U51" s="34" t="s">
        <v>1689</v>
      </c>
      <c r="V51" s="34" t="s">
        <v>360</v>
      </c>
      <c r="W51" s="5" t="s">
        <v>1348</v>
      </c>
      <c r="X51" s="34" t="s">
        <v>707</v>
      </c>
      <c r="Y51" s="34" t="s">
        <v>437</v>
      </c>
      <c r="Z51" s="5" t="s">
        <v>1086</v>
      </c>
      <c r="AA51" s="74" t="s">
        <v>1414</v>
      </c>
      <c r="AB51" s="88" t="s">
        <v>1548</v>
      </c>
      <c r="AC51" s="77" t="s">
        <v>389</v>
      </c>
      <c r="AD51" s="92" t="s">
        <v>71</v>
      </c>
      <c r="AE51" s="83" t="s">
        <v>297</v>
      </c>
      <c r="AG51" s="17">
        <f>AG50+100</f>
        <v>200</v>
      </c>
      <c r="AH51" s="7">
        <v>1.135</v>
      </c>
      <c r="AI51" s="10">
        <f t="shared" ref="AI51:AR61" si="21">AI50/1.1</f>
        <v>1.5909090909090908</v>
      </c>
      <c r="AJ51" s="10">
        <f t="shared" si="21"/>
        <v>1.446280991735537</v>
      </c>
      <c r="AK51" s="10">
        <f t="shared" si="21"/>
        <v>1.3148009015777609</v>
      </c>
      <c r="AL51" s="10">
        <f t="shared" si="21"/>
        <v>1.1952735468888733</v>
      </c>
      <c r="AM51" s="10">
        <f t="shared" si="21"/>
        <v>1.0866123153535212</v>
      </c>
      <c r="AN51" s="10">
        <f t="shared" si="21"/>
        <v>0.98782937759411016</v>
      </c>
      <c r="AO51" s="10">
        <f t="shared" si="21"/>
        <v>0.89802670690373643</v>
      </c>
      <c r="AP51" s="10">
        <f t="shared" si="21"/>
        <v>0.81638791536703303</v>
      </c>
      <c r="AQ51" s="10">
        <f t="shared" si="21"/>
        <v>0.7421708321518482</v>
      </c>
      <c r="AR51" s="10">
        <f>AR50/1.1</f>
        <v>0.67470075650168015</v>
      </c>
      <c r="AY51" s="33"/>
      <c r="AZ51" s="33"/>
      <c r="BB51" s="39">
        <v>16</v>
      </c>
      <c r="BC51" s="44">
        <f>LOOKUP(AZ$54,BD$5:CN$5,BD51:CN51)</f>
        <v>0</v>
      </c>
      <c r="BD51" s="44"/>
      <c r="BH51" s="43" t="str">
        <f>CONCATENATE(BB51,CP91,CQ91,CR91)</f>
        <v>16 CC IX-1.25 IY+0</v>
      </c>
      <c r="BI51" s="43" t="str">
        <f>BE15</f>
        <v>G03 X0.625 Y0.625 Z0.188 I0. J0.625</v>
      </c>
      <c r="BJ51" s="43" t="str">
        <f>CONCATENATE(BB51,DT118,DU118,DV118)</f>
        <v>16 CC IX-1.09 IY+0</v>
      </c>
      <c r="BL51" s="43" t="str">
        <f>CONCATENATE(BB51,EI118)</f>
        <v>16 FN 1: Q2 =+Q2 + +1</v>
      </c>
      <c r="BM51" s="43" t="str">
        <f>BG42</f>
        <v>G01 G40 X-0.625 Y-0.625</v>
      </c>
      <c r="BN51" s="43" t="str">
        <f>CONCATENATE(BB51,CP82,CQ82,CR82,CS82,CT82,CU82)</f>
        <v>16 L IX+0.625 IY-0.625 RL F53</v>
      </c>
      <c r="BO51" s="4" t="str">
        <f>BI42</f>
        <v>G01 G40 X-0.545 Y-0.545</v>
      </c>
      <c r="BP51" s="43" t="str">
        <f>CONCATENATE(BB51,DT109,DU109,DV109,DW109,DX109,DY109)</f>
        <v>16 L IX+0.545 IY-0.545 RL F48</v>
      </c>
      <c r="BR51" s="43" t="str">
        <f>CONCATENATE(BB51,CP103,CQ103,CR103,CS103,CT103)</f>
        <v>16 L IX-0.625 IY-0.625 R0</v>
      </c>
      <c r="BS51" s="43" t="str">
        <f>BS21</f>
        <v>#2=0</v>
      </c>
      <c r="BT51" s="43" t="str">
        <f>CONCATENATE(BB51,DE103,DF103,DG103,DH103,DI103)</f>
        <v>16 L IX-0.493 IY-0.493 R0</v>
      </c>
      <c r="BU51" s="43" t="str">
        <f>BU21</f>
        <v>#2=0</v>
      </c>
      <c r="BV51" s="125" t="str">
        <f>CONCATENATE(BB51,DT103,DU103,DV103,DW103,DX103)</f>
        <v>16 L IX-0.423 IY-0.423 R0</v>
      </c>
      <c r="BX51" s="125" t="str">
        <f>CONCATENATE(BB51,CP100,CQ100,CR100,C31*5)</f>
        <v>16 CP IPA+90 IZ+0.188 DR+ F530</v>
      </c>
      <c r="BY51" s="43" t="str">
        <f>BW24</f>
        <v>G03 X1.274 Y-1.286 Z0.375 I1.274 J-0.012</v>
      </c>
      <c r="BZ51" s="125" t="str">
        <f>CONCATENATE(BB51,CP100,CQ100,CR100,AX62*5)</f>
        <v>16 CP IPA+90 IZ+0.188 DR+ F440</v>
      </c>
      <c r="CA51" s="43" t="str">
        <f>CONCATENATE(FZ51,GA51,GB51,GC51,GD51,GE51,GF51,GG51,GH51,GI51,GJ51,GK51)</f>
        <v>G03 X1.114 Y-1.126 Z0.375 I1.114 J-0.012</v>
      </c>
      <c r="CB51" s="125" t="str">
        <f>CONCATENATE(BB51,CP100,CQ100,CR100,AX68*5)</f>
        <v>16 CP IPA+90 IZ+0.188 DR+ F390</v>
      </c>
      <c r="CD51" s="43" t="str">
        <f>CC33</f>
        <v>G00 Z20.124</v>
      </c>
      <c r="CE51" s="43" t="str">
        <f>CC15</f>
        <v>G01 G41 X0.625 C-0.625 F53</v>
      </c>
      <c r="CF51" s="43" t="str">
        <f>BK45</f>
        <v>G00 Z1.</v>
      </c>
      <c r="CG51" s="43" t="str">
        <f>CD42</f>
        <v>G03 X-0.625 C0.625 Z0.188 I-0.625 J0. F530</v>
      </c>
      <c r="CH51" s="43" t="str">
        <f>CE42</f>
        <v>G03 X-0.545 C0.545 Z0.188 I-0.545 J0. F475</v>
      </c>
      <c r="CJ51" s="43" t="str">
        <f>CD36</f>
        <v>G03 X0.625 C0.625 Z0.188 I0. J0.625</v>
      </c>
      <c r="CK51" s="43" t="str">
        <f>CE36</f>
        <v>G03 X0.545 C0.545 Z0.188 I0. J0.545</v>
      </c>
      <c r="CM51" s="43" t="str">
        <f>CL24</f>
        <v>G03 X-1.274 C-1.262 Z0.375 I-0.012 J-1.262</v>
      </c>
      <c r="CN51" s="43" t="str">
        <f>CONCATENATE(FZ48,GA48,GB48,GX51,GD48,GE48,GF48,GG48,GH48,GI48,GJ48,GK48)</f>
        <v>G03 X-1.114 C-1.102 Z0.375 I-0.012 J-1.102</v>
      </c>
      <c r="CY51" s="18"/>
      <c r="DT51" s="18"/>
      <c r="DU51" s="18"/>
      <c r="DV51" s="18"/>
      <c r="DW51" s="18"/>
      <c r="DX51" s="18"/>
      <c r="DY51" s="18"/>
      <c r="DZ51" s="18"/>
      <c r="EA51" s="18"/>
      <c r="EB51" s="18"/>
      <c r="EC51" s="18"/>
      <c r="ED51" s="18"/>
      <c r="EE51" s="18"/>
      <c r="EF51" s="18"/>
      <c r="EG51" s="18"/>
      <c r="FY51" s="48">
        <v>16</v>
      </c>
      <c r="FZ51" s="33" t="s">
        <v>571</v>
      </c>
      <c r="GA51" s="33" t="s">
        <v>570</v>
      </c>
      <c r="GB51" s="18" t="str">
        <f>SUBSTITUTE(GB49,",",".")</f>
        <v>1.114</v>
      </c>
      <c r="GC51" s="18" t="str">
        <f>IF(GB49=GB50,". Y"," Y")</f>
        <v xml:space="preserve"> Y</v>
      </c>
      <c r="GD51" s="18" t="str">
        <f>SUBSTITUTE(GD49,",",".")</f>
        <v>-1.126</v>
      </c>
      <c r="GE51" s="18" t="str">
        <f>IF(GD49=GD50,". Z"," Z")</f>
        <v xml:space="preserve"> Z</v>
      </c>
      <c r="GF51" s="18" t="str">
        <f>SUBSTITUTE(GF49,",",".")</f>
        <v>0.375</v>
      </c>
      <c r="GG51" s="18" t="str">
        <f>IF(GF49=GF50,". I"," I")</f>
        <v xml:space="preserve"> I</v>
      </c>
      <c r="GH51" s="18" t="str">
        <f>SUBSTITUTE(GH49,",",".")</f>
        <v>1.114</v>
      </c>
      <c r="GI51" s="18" t="str">
        <f>IF(GH49=GH50,". J"," J")</f>
        <v xml:space="preserve"> J</v>
      </c>
      <c r="GJ51" s="18" t="str">
        <f>SUBSTITUTE(GJ49,",",".")</f>
        <v>-0.012</v>
      </c>
      <c r="GK51" s="18" t="str">
        <f>IF(GJ49=GJ50,".","")</f>
        <v/>
      </c>
      <c r="GL51" s="18"/>
      <c r="GW51" s="48">
        <v>16</v>
      </c>
      <c r="GX51" s="33" t="str">
        <f>IF(GB46=GB47,". C"," C")</f>
        <v xml:space="preserve"> C</v>
      </c>
    </row>
    <row r="52" spans="6:206" ht="20" customHeight="1">
      <c r="F52" s="134"/>
      <c r="I52" s="5" t="str">
        <f t="shared" si="15"/>
        <v>Aluminio, aleado, &lt; 0.5% Si</v>
      </c>
      <c r="J52" s="5" t="s">
        <v>1908</v>
      </c>
      <c r="K52" s="63" t="s">
        <v>1210</v>
      </c>
      <c r="L52" s="5" t="s">
        <v>901</v>
      </c>
      <c r="M52" s="5" t="s">
        <v>1099</v>
      </c>
      <c r="N52" s="5" t="s">
        <v>779</v>
      </c>
      <c r="O52" s="5" t="s">
        <v>945</v>
      </c>
      <c r="P52" t="s">
        <v>1742</v>
      </c>
      <c r="Q52" s="34" t="s">
        <v>419</v>
      </c>
      <c r="R52" s="5" t="s">
        <v>1222</v>
      </c>
      <c r="S52" s="5" t="s">
        <v>1805</v>
      </c>
      <c r="T52" s="5" t="s">
        <v>1336</v>
      </c>
      <c r="U52" s="34" t="s">
        <v>1690</v>
      </c>
      <c r="V52" s="5" t="s">
        <v>361</v>
      </c>
      <c r="W52" s="5" t="s">
        <v>1446</v>
      </c>
      <c r="X52" s="34" t="s">
        <v>620</v>
      </c>
      <c r="Y52" s="34" t="s">
        <v>42</v>
      </c>
      <c r="Z52" s="5" t="s">
        <v>1087</v>
      </c>
      <c r="AA52" s="74" t="s">
        <v>1415</v>
      </c>
      <c r="AB52" s="88" t="s">
        <v>1562</v>
      </c>
      <c r="AC52" s="77" t="s">
        <v>390</v>
      </c>
      <c r="AD52" s="92" t="s">
        <v>72</v>
      </c>
      <c r="AE52" s="83" t="s">
        <v>141</v>
      </c>
      <c r="AG52" s="17">
        <f t="shared" ref="AG52:AG61" si="22">AG51+100</f>
        <v>300</v>
      </c>
      <c r="AH52" s="7">
        <f t="shared" ref="AH52:AH61" si="23">AH51*1.135</f>
        <v>1.288225</v>
      </c>
      <c r="AI52" s="10">
        <f t="shared" si="21"/>
        <v>1.446280991735537</v>
      </c>
      <c r="AJ52" s="10">
        <f t="shared" si="21"/>
        <v>1.3148009015777609</v>
      </c>
      <c r="AK52" s="10">
        <f t="shared" si="21"/>
        <v>1.1952735468888733</v>
      </c>
      <c r="AL52" s="10">
        <f t="shared" si="21"/>
        <v>1.0866123153535212</v>
      </c>
      <c r="AM52" s="10">
        <f t="shared" si="21"/>
        <v>0.98782937759411016</v>
      </c>
      <c r="AN52" s="10">
        <f t="shared" si="21"/>
        <v>0.89802670690373643</v>
      </c>
      <c r="AO52" s="10">
        <f t="shared" si="21"/>
        <v>0.81638791536703303</v>
      </c>
      <c r="AP52" s="10">
        <f t="shared" si="21"/>
        <v>0.7421708321518482</v>
      </c>
      <c r="AQ52" s="10">
        <f t="shared" si="21"/>
        <v>0.67470075650168015</v>
      </c>
      <c r="AR52" s="10">
        <f>AR51/1.1</f>
        <v>0.61336432409243646</v>
      </c>
      <c r="AY52" s="33"/>
      <c r="AZ52" s="33"/>
      <c r="BB52" s="39"/>
      <c r="BP52" s="43"/>
      <c r="CY52" s="18"/>
      <c r="DT52" s="18"/>
      <c r="DU52" s="18"/>
      <c r="DV52" s="18"/>
      <c r="DW52" s="18"/>
      <c r="DX52" s="18"/>
      <c r="DY52" s="18"/>
      <c r="DZ52" s="18"/>
      <c r="EA52" s="18"/>
      <c r="EB52" s="18"/>
      <c r="EC52" s="18"/>
      <c r="ED52" s="18"/>
      <c r="EE52" s="18"/>
      <c r="EF52" s="18"/>
      <c r="EG52" s="18"/>
      <c r="GB52" s="33">
        <f>-(GD49+GJ49)</f>
        <v>1.1380000000000001</v>
      </c>
      <c r="GD52" s="33">
        <f>-GD49</f>
        <v>1.1260000000000001</v>
      </c>
      <c r="GF52" s="33">
        <f>GF43</f>
        <v>0.375</v>
      </c>
      <c r="GH52" s="33">
        <f>GJ43</f>
        <v>1.2E-2</v>
      </c>
      <c r="GJ52" s="33">
        <f>GD52</f>
        <v>1.1260000000000001</v>
      </c>
    </row>
    <row r="53" spans="6:206" ht="20" customHeight="1">
      <c r="F53" s="134"/>
      <c r="I53" s="5" t="str">
        <f t="shared" si="15"/>
        <v>Aluminio, aleado, &lt; 10% Si</v>
      </c>
      <c r="J53" s="5" t="s">
        <v>1909</v>
      </c>
      <c r="K53" s="63" t="s">
        <v>1211</v>
      </c>
      <c r="L53" s="5" t="s">
        <v>840</v>
      </c>
      <c r="M53" s="5" t="s">
        <v>1102</v>
      </c>
      <c r="N53" s="5" t="s">
        <v>780</v>
      </c>
      <c r="O53" s="5" t="s">
        <v>946</v>
      </c>
      <c r="P53" t="s">
        <v>1743</v>
      </c>
      <c r="Q53" s="34" t="s">
        <v>420</v>
      </c>
      <c r="R53" s="5" t="s">
        <v>1223</v>
      </c>
      <c r="S53" s="5" t="s">
        <v>1806</v>
      </c>
      <c r="T53" s="5" t="s">
        <v>1337</v>
      </c>
      <c r="U53" s="34" t="s">
        <v>1691</v>
      </c>
      <c r="V53" s="5" t="s">
        <v>362</v>
      </c>
      <c r="W53" s="5" t="s">
        <v>1447</v>
      </c>
      <c r="X53" s="34" t="s">
        <v>621</v>
      </c>
      <c r="Y53" s="34" t="s">
        <v>43</v>
      </c>
      <c r="Z53" s="5" t="s">
        <v>986</v>
      </c>
      <c r="AA53" s="74" t="s">
        <v>1416</v>
      </c>
      <c r="AB53" s="88" t="s">
        <v>1563</v>
      </c>
      <c r="AC53" s="77" t="s">
        <v>408</v>
      </c>
      <c r="AD53" s="92" t="s">
        <v>73</v>
      </c>
      <c r="AE53" s="83" t="s">
        <v>142</v>
      </c>
      <c r="AG53" s="17">
        <f t="shared" si="22"/>
        <v>400</v>
      </c>
      <c r="AH53" s="7">
        <f t="shared" si="23"/>
        <v>1.4621353749999999</v>
      </c>
      <c r="AI53" s="10">
        <f t="shared" si="21"/>
        <v>1.3148009015777609</v>
      </c>
      <c r="AJ53" s="10">
        <f t="shared" si="21"/>
        <v>1.1952735468888733</v>
      </c>
      <c r="AK53" s="10">
        <f t="shared" si="21"/>
        <v>1.0866123153535212</v>
      </c>
      <c r="AL53" s="10">
        <f t="shared" si="21"/>
        <v>0.98782937759411016</v>
      </c>
      <c r="AM53" s="10">
        <f t="shared" si="21"/>
        <v>0.89802670690373643</v>
      </c>
      <c r="AN53" s="10">
        <f t="shared" si="21"/>
        <v>0.81638791536703303</v>
      </c>
      <c r="AO53" s="10">
        <f t="shared" si="21"/>
        <v>0.7421708321518482</v>
      </c>
      <c r="AP53" s="10">
        <f t="shared" si="21"/>
        <v>0.67470075650168015</v>
      </c>
      <c r="AQ53" s="10">
        <f t="shared" si="21"/>
        <v>0.61336432409243646</v>
      </c>
      <c r="AR53" s="10">
        <f>AR52/1.1</f>
        <v>0.557603930993124</v>
      </c>
      <c r="AY53" s="33"/>
      <c r="AZ53" s="33"/>
      <c r="BB53" s="39"/>
      <c r="BP53" s="43"/>
      <c r="CY53" s="18"/>
      <c r="DT53" s="18"/>
      <c r="DU53" s="18"/>
      <c r="DV53" s="18"/>
      <c r="DW53" s="18"/>
      <c r="DX53" s="18"/>
      <c r="DY53" s="18"/>
      <c r="DZ53" s="18"/>
      <c r="EA53" s="18"/>
      <c r="EB53" s="18"/>
      <c r="EC53" s="18"/>
      <c r="ED53" s="18"/>
      <c r="EE53" s="18"/>
      <c r="EF53" s="18"/>
      <c r="EG53" s="18"/>
      <c r="GB53" s="25">
        <f>INT(GB52)</f>
        <v>1</v>
      </c>
      <c r="GD53" s="25">
        <f>INT(GD52)</f>
        <v>1</v>
      </c>
      <c r="GF53" s="25">
        <f>INT(GF52)</f>
        <v>0</v>
      </c>
      <c r="GH53" s="25">
        <f>INT(GH52)</f>
        <v>0</v>
      </c>
      <c r="GJ53" s="25">
        <f>INT(GJ52)</f>
        <v>1</v>
      </c>
    </row>
    <row r="54" spans="6:206" ht="20" customHeight="1">
      <c r="F54" s="134"/>
      <c r="I54" s="5" t="str">
        <f t="shared" si="15"/>
        <v>Aluminio, aleado, &gt; 10% Si</v>
      </c>
      <c r="J54" s="5" t="s">
        <v>1910</v>
      </c>
      <c r="K54" s="63" t="s">
        <v>1211</v>
      </c>
      <c r="L54" s="5" t="s">
        <v>607</v>
      </c>
      <c r="M54" s="5" t="s">
        <v>1103</v>
      </c>
      <c r="N54" s="5" t="s">
        <v>615</v>
      </c>
      <c r="O54" s="5" t="s">
        <v>905</v>
      </c>
      <c r="P54" t="s">
        <v>1744</v>
      </c>
      <c r="Q54" s="34" t="s">
        <v>420</v>
      </c>
      <c r="R54" s="5" t="s">
        <v>1224</v>
      </c>
      <c r="S54" s="5" t="s">
        <v>1807</v>
      </c>
      <c r="T54" s="5" t="s">
        <v>1331</v>
      </c>
      <c r="U54" s="34" t="s">
        <v>1692</v>
      </c>
      <c r="V54" s="5" t="s">
        <v>363</v>
      </c>
      <c r="W54" s="5" t="s">
        <v>1448</v>
      </c>
      <c r="X54" s="34" t="s">
        <v>622</v>
      </c>
      <c r="Y54" s="34" t="s">
        <v>44</v>
      </c>
      <c r="Z54" s="5" t="s">
        <v>987</v>
      </c>
      <c r="AA54" s="74" t="s">
        <v>1417</v>
      </c>
      <c r="AB54" s="88" t="s">
        <v>1648</v>
      </c>
      <c r="AC54" s="77" t="s">
        <v>409</v>
      </c>
      <c r="AD54" s="92" t="s">
        <v>74</v>
      </c>
      <c r="AE54" s="83" t="s">
        <v>122</v>
      </c>
      <c r="AG54" s="17">
        <f t="shared" si="22"/>
        <v>500</v>
      </c>
      <c r="AH54" s="7">
        <f t="shared" si="23"/>
        <v>1.659523650625</v>
      </c>
      <c r="AI54" s="10">
        <f t="shared" si="21"/>
        <v>1.1952735468888733</v>
      </c>
      <c r="AJ54" s="10">
        <f t="shared" si="21"/>
        <v>1.0866123153535212</v>
      </c>
      <c r="AK54" s="10">
        <f t="shared" si="21"/>
        <v>0.98782937759411016</v>
      </c>
      <c r="AL54" s="10">
        <f t="shared" si="21"/>
        <v>0.89802670690373643</v>
      </c>
      <c r="AM54" s="10">
        <f t="shared" si="21"/>
        <v>0.81638791536703303</v>
      </c>
      <c r="AN54" s="10">
        <f t="shared" si="21"/>
        <v>0.7421708321518482</v>
      </c>
      <c r="AO54" s="10">
        <f t="shared" si="21"/>
        <v>0.67470075650168015</v>
      </c>
      <c r="AP54" s="10">
        <f t="shared" si="21"/>
        <v>0.61336432409243646</v>
      </c>
      <c r="AQ54" s="10">
        <f t="shared" si="21"/>
        <v>0.557603930993124</v>
      </c>
      <c r="AR54" s="10">
        <f t="shared" si="21"/>
        <v>0.50691266453920358</v>
      </c>
      <c r="AY54" s="39" t="s">
        <v>633</v>
      </c>
      <c r="AZ54" s="33">
        <f>AZ13-SUM(AZ15:AZ38)</f>
        <v>11</v>
      </c>
      <c r="BB54" s="39">
        <v>17</v>
      </c>
      <c r="BC54" s="44">
        <f>LOOKUP(AZ$54,BD$5:CN$5,BD54:CN54)</f>
        <v>0</v>
      </c>
      <c r="BD54" s="44"/>
      <c r="BH54" s="43" t="str">
        <f>CONCATENATE(BB54,CP94,CQ94,CR94,CS94)</f>
        <v>17 CP IPA+360 IZ+1.5 DR+ F106</v>
      </c>
      <c r="BI54" s="43" t="str">
        <f>BE18</f>
        <v>G03 X0. Y0. Z1.5 I-1.25 J0. F106</v>
      </c>
      <c r="BJ54" s="43" t="str">
        <f>CONCATENATE(BB54,DT121,DU121,DV121,DW121)</f>
        <v>17 CP IPA+360 IZ+1.5 DR+ F95</v>
      </c>
      <c r="BL54" s="43" t="str">
        <f>CONCATENATE(BB54,EI121)</f>
        <v>17 FN 12: IF +Q2 LT +Q1 GOTO LBL 101</v>
      </c>
      <c r="BM54" s="43" t="str">
        <f>BK36</f>
        <v>G00 Z19.125</v>
      </c>
      <c r="BN54" s="43" t="str">
        <f>CONCATENATE(BB54,CP85,CQ85)</f>
        <v>17 CC IX+0 IY+0.625</v>
      </c>
      <c r="BO54" s="4" t="str">
        <f>BI45</f>
        <v>G00 Z-1.876</v>
      </c>
      <c r="BP54" s="43" t="str">
        <f>CONCATENATE(BB54,DT112,DU112)</f>
        <v>17 CC IX+0 IY+0.545</v>
      </c>
      <c r="BR54" s="43" t="str">
        <f>CONCATENATE(BB54,DE106,EO121,EP121,DG106)</f>
        <v>17 L IZ+0.624 FMAX</v>
      </c>
      <c r="BS54" s="43" t="str">
        <f>CONCATENATE(ES54)</f>
        <v>WHILE[#2LT#1]DO2</v>
      </c>
      <c r="BT54" s="43" t="str">
        <f>CONCATENATE(BB54,DE106,EU42,DG106)</f>
        <v>17 L IZ-21.376 FMAX</v>
      </c>
      <c r="BU54" s="43" t="str">
        <f>BS54</f>
        <v>WHILE[#2LT#1]DO2</v>
      </c>
      <c r="BV54" s="125" t="str">
        <f>BT54</f>
        <v>17 L IZ-21.376 FMAX</v>
      </c>
      <c r="BX54" s="125" t="str">
        <f>CONCATENATE(BB54,CP103,FA33,CR103,CS103,CT103)</f>
        <v>17 L IX-0.673 IY-0.625 R0</v>
      </c>
      <c r="BY54" s="43" t="str">
        <f>BW27</f>
        <v>G03 X1.298 Y1.286 Z0.375 I0.012 J1.286</v>
      </c>
      <c r="BZ54" s="125" t="str">
        <f>CONCATENATE(BB54,DE103,FO33,DG103,DH103,DI103)</f>
        <v>17 L IX-0.541 IY-0.493 R0</v>
      </c>
      <c r="CA54" s="43" t="str">
        <f>CONCATENATE(FZ54,GA54,GB54,GC54,GD54,GE54,GF54,GG54,GH54,GI54,GJ54,GK54)</f>
        <v>G03 X1.138 Y1.126 Z0.375 I0.012 J1.126</v>
      </c>
      <c r="CB54" s="125" t="str">
        <f>CONCATENATE(BB54,DE103,GC33,DG103,GE33,DI103)</f>
        <v>17 L IX-0.471 IY-0.423 R0</v>
      </c>
      <c r="CE54" s="43" t="str">
        <f>CC18</f>
        <v>G03 X0.625 C0.625 Z0.188 I0. J0.625</v>
      </c>
      <c r="CG54" s="43" t="str">
        <f>CD45</f>
        <v>G01 G40 X-0.625 C-0.625</v>
      </c>
      <c r="CH54" s="43" t="str">
        <f>CE45</f>
        <v>G01 G40 X-0.545 C-0.545</v>
      </c>
      <c r="CJ54" s="43" t="str">
        <f>BS51</f>
        <v>#2=0</v>
      </c>
      <c r="CK54" s="43" t="str">
        <f>CJ54</f>
        <v>#2=0</v>
      </c>
      <c r="CM54" s="43" t="str">
        <f>CL27</f>
        <v>G03 X1.274 C-1.286 Z0.375 I1.274 J-0.012</v>
      </c>
      <c r="CN54" s="43" t="str">
        <f>CONCATENATE(FZ51,GA51,GB51,GX54,GD51,GE51,GF51,GG51,GH51,GI51,GJ51,GK51)</f>
        <v>G03 X1.114 C-1.126 Z0.375 I1.114 J-0.012</v>
      </c>
      <c r="CY54" s="18"/>
      <c r="DT54" s="18"/>
      <c r="DU54" s="18"/>
      <c r="DV54" s="18"/>
      <c r="DW54" s="18"/>
      <c r="DX54" s="18"/>
      <c r="DY54" s="18"/>
      <c r="DZ54" s="18"/>
      <c r="EA54" s="18"/>
      <c r="EB54" s="18"/>
      <c r="EC54" s="18"/>
      <c r="ED54" s="18"/>
      <c r="EE54" s="18"/>
      <c r="EF54" s="18"/>
      <c r="EG54" s="18"/>
      <c r="ER54" s="48">
        <v>17</v>
      </c>
      <c r="ES54" s="34" t="s">
        <v>970</v>
      </c>
      <c r="FY54" s="48">
        <v>17</v>
      </c>
      <c r="FZ54" s="33" t="s">
        <v>571</v>
      </c>
      <c r="GA54" s="33" t="s">
        <v>570</v>
      </c>
      <c r="GB54" s="18" t="str">
        <f>SUBSTITUTE(GB52,",",".")</f>
        <v>1.138</v>
      </c>
      <c r="GC54" s="18" t="str">
        <f>IF(GB52=GB53,". Y"," Y")</f>
        <v xml:space="preserve"> Y</v>
      </c>
      <c r="GD54" s="18" t="str">
        <f>SUBSTITUTE(GD52,",",".")</f>
        <v>1.126</v>
      </c>
      <c r="GE54" s="18" t="str">
        <f>IF(GD52=GD53,". Z"," Z")</f>
        <v xml:space="preserve"> Z</v>
      </c>
      <c r="GF54" s="18" t="str">
        <f>SUBSTITUTE(GF52,",",".")</f>
        <v>0.375</v>
      </c>
      <c r="GG54" s="18" t="str">
        <f>IF(GF52=GF53,". I"," I")</f>
        <v xml:space="preserve"> I</v>
      </c>
      <c r="GH54" s="18" t="str">
        <f>SUBSTITUTE(GH52,",",".")</f>
        <v>0.012</v>
      </c>
      <c r="GI54" s="18" t="str">
        <f>IF(GH52=GH53,". J"," J")</f>
        <v xml:space="preserve"> J</v>
      </c>
      <c r="GJ54" s="18" t="str">
        <f>SUBSTITUTE(GJ52,",",".")</f>
        <v>1.126</v>
      </c>
      <c r="GK54" s="18" t="str">
        <f>IF(GJ52=GJ53,".","")</f>
        <v/>
      </c>
      <c r="GL54" s="18"/>
      <c r="GW54" s="48">
        <v>17</v>
      </c>
      <c r="GX54" s="33" t="str">
        <f>IF(GB49=GB50,". C"," C")</f>
        <v xml:space="preserve"> C</v>
      </c>
    </row>
    <row r="55" spans="6:206" ht="20" customHeight="1">
      <c r="F55" s="134"/>
      <c r="I55" s="5" t="str">
        <f t="shared" si="15"/>
        <v>Inconel 718</v>
      </c>
      <c r="J55" s="5" t="s">
        <v>616</v>
      </c>
      <c r="K55" s="63" t="s">
        <v>616</v>
      </c>
      <c r="L55" s="5" t="s">
        <v>616</v>
      </c>
      <c r="M55" s="5" t="s">
        <v>1104</v>
      </c>
      <c r="N55" s="5" t="s">
        <v>616</v>
      </c>
      <c r="O55" s="5" t="s">
        <v>616</v>
      </c>
      <c r="P55" s="5" t="s">
        <v>616</v>
      </c>
      <c r="Q55" s="34" t="s">
        <v>616</v>
      </c>
      <c r="R55" s="5" t="s">
        <v>616</v>
      </c>
      <c r="S55" s="5" t="s">
        <v>616</v>
      </c>
      <c r="T55" s="5" t="s">
        <v>616</v>
      </c>
      <c r="U55" s="34" t="s">
        <v>616</v>
      </c>
      <c r="V55" s="5" t="s">
        <v>616</v>
      </c>
      <c r="W55" s="5" t="s">
        <v>616</v>
      </c>
      <c r="X55" s="34" t="s">
        <v>623</v>
      </c>
      <c r="Y55" s="34" t="s">
        <v>442</v>
      </c>
      <c r="Z55" s="5" t="s">
        <v>616</v>
      </c>
      <c r="AA55" s="74" t="s">
        <v>1418</v>
      </c>
      <c r="AB55" s="88" t="s">
        <v>1649</v>
      </c>
      <c r="AC55" s="77" t="s">
        <v>354</v>
      </c>
      <c r="AD55" s="94" t="s">
        <v>75</v>
      </c>
      <c r="AE55" s="83" t="s">
        <v>123</v>
      </c>
      <c r="AG55" s="17">
        <f t="shared" si="22"/>
        <v>600</v>
      </c>
      <c r="AH55" s="7">
        <f t="shared" si="23"/>
        <v>1.8835593434593749</v>
      </c>
      <c r="AI55" s="10">
        <f t="shared" si="21"/>
        <v>1.0866123153535212</v>
      </c>
      <c r="AJ55" s="10">
        <f t="shared" si="21"/>
        <v>0.98782937759411016</v>
      </c>
      <c r="AK55" s="10">
        <f t="shared" si="21"/>
        <v>0.89802670690373643</v>
      </c>
      <c r="AL55" s="10">
        <f t="shared" si="21"/>
        <v>0.81638791536703303</v>
      </c>
      <c r="AM55" s="10">
        <f t="shared" si="21"/>
        <v>0.7421708321518482</v>
      </c>
      <c r="AN55" s="10">
        <f t="shared" si="21"/>
        <v>0.67470075650168015</v>
      </c>
      <c r="AO55" s="10">
        <f t="shared" si="21"/>
        <v>0.61336432409243646</v>
      </c>
      <c r="AP55" s="10">
        <f t="shared" si="21"/>
        <v>0.557603930993124</v>
      </c>
      <c r="AQ55" s="10">
        <f t="shared" si="21"/>
        <v>0.50691266453920358</v>
      </c>
      <c r="AR55" s="10">
        <f t="shared" si="21"/>
        <v>0.46082969503563959</v>
      </c>
      <c r="BB55" s="39"/>
      <c r="BP55" s="43"/>
      <c r="CY55" s="18"/>
      <c r="DT55" s="18"/>
      <c r="DU55" s="18"/>
      <c r="DV55" s="18"/>
      <c r="DW55" s="18"/>
      <c r="DX55" s="18"/>
      <c r="DY55" s="18"/>
      <c r="DZ55" s="18"/>
      <c r="EA55" s="18"/>
      <c r="EB55" s="18"/>
      <c r="EC55" s="18"/>
      <c r="ED55" s="18"/>
      <c r="EE55" s="18"/>
      <c r="EF55" s="18"/>
      <c r="EG55" s="18"/>
    </row>
    <row r="56" spans="6:206" ht="20" customHeight="1">
      <c r="F56" s="134"/>
      <c r="I56" s="5" t="str">
        <f t="shared" si="15"/>
        <v>Grafito</v>
      </c>
      <c r="J56" s="34" t="s">
        <v>988</v>
      </c>
      <c r="K56" s="63" t="s">
        <v>988</v>
      </c>
      <c r="L56" s="5" t="s">
        <v>608</v>
      </c>
      <c r="M56" s="5" t="s">
        <v>1105</v>
      </c>
      <c r="N56" s="5" t="s">
        <v>819</v>
      </c>
      <c r="O56" s="5" t="s">
        <v>1085</v>
      </c>
      <c r="P56" t="s">
        <v>1085</v>
      </c>
      <c r="Q56" s="34" t="s">
        <v>819</v>
      </c>
      <c r="R56" s="5" t="s">
        <v>1225</v>
      </c>
      <c r="S56" s="5" t="s">
        <v>988</v>
      </c>
      <c r="T56" s="5" t="s">
        <v>1332</v>
      </c>
      <c r="U56" s="34" t="s">
        <v>1693</v>
      </c>
      <c r="V56" s="5" t="s">
        <v>988</v>
      </c>
      <c r="W56" s="5" t="s">
        <v>1225</v>
      </c>
      <c r="X56" s="34" t="s">
        <v>988</v>
      </c>
      <c r="Y56" s="34" t="s">
        <v>443</v>
      </c>
      <c r="Z56" s="5" t="s">
        <v>988</v>
      </c>
      <c r="AA56" s="74" t="s">
        <v>1419</v>
      </c>
      <c r="AB56" s="88" t="s">
        <v>1650</v>
      </c>
      <c r="AC56" s="77" t="s">
        <v>355</v>
      </c>
      <c r="AD56" s="92" t="s">
        <v>76</v>
      </c>
      <c r="AE56" s="83" t="s">
        <v>124</v>
      </c>
      <c r="AG56" s="17">
        <f t="shared" si="22"/>
        <v>700</v>
      </c>
      <c r="AH56" s="7">
        <f t="shared" si="23"/>
        <v>2.1378398548263906</v>
      </c>
      <c r="AI56" s="10">
        <f t="shared" si="21"/>
        <v>0.98782937759411016</v>
      </c>
      <c r="AJ56" s="10">
        <f t="shared" si="21"/>
        <v>0.89802670690373643</v>
      </c>
      <c r="AK56" s="10">
        <f t="shared" si="21"/>
        <v>0.81638791536703303</v>
      </c>
      <c r="AL56" s="10">
        <f t="shared" si="21"/>
        <v>0.7421708321518482</v>
      </c>
      <c r="AM56" s="10">
        <f t="shared" si="21"/>
        <v>0.67470075650168015</v>
      </c>
      <c r="AN56" s="10">
        <f t="shared" si="21"/>
        <v>0.61336432409243646</v>
      </c>
      <c r="AO56" s="10">
        <f t="shared" si="21"/>
        <v>0.557603930993124</v>
      </c>
      <c r="AP56" s="10">
        <f t="shared" si="21"/>
        <v>0.50691266453920358</v>
      </c>
      <c r="AQ56" s="10">
        <f t="shared" si="21"/>
        <v>0.46082969503563959</v>
      </c>
      <c r="AR56" s="10">
        <f t="shared" si="21"/>
        <v>0.41893608639603597</v>
      </c>
      <c r="AV56"/>
      <c r="BB56" s="39"/>
      <c r="BP56" s="43"/>
      <c r="CY56" s="18"/>
      <c r="DT56" s="18"/>
      <c r="DU56" s="18"/>
      <c r="DV56" s="18"/>
      <c r="DW56" s="18"/>
      <c r="DX56" s="18"/>
      <c r="DY56" s="18"/>
      <c r="DZ56" s="18"/>
      <c r="EA56" s="18"/>
      <c r="EB56" s="18"/>
      <c r="EC56" s="18"/>
      <c r="ED56" s="18"/>
      <c r="EE56" s="18"/>
      <c r="EF56" s="18"/>
      <c r="EG56" s="18"/>
    </row>
    <row r="57" spans="6:206" ht="20" customHeight="1">
      <c r="F57" s="134"/>
      <c r="I57" s="5"/>
      <c r="J57" s="34"/>
      <c r="K57" s="63"/>
      <c r="AA57" s="74"/>
      <c r="AD57" s="93"/>
      <c r="AG57" s="17">
        <f t="shared" si="22"/>
        <v>800</v>
      </c>
      <c r="AH57" s="7">
        <f t="shared" si="23"/>
        <v>2.4264482352279533</v>
      </c>
      <c r="AI57" s="10">
        <f t="shared" si="21"/>
        <v>0.89802670690373643</v>
      </c>
      <c r="AJ57" s="10">
        <f t="shared" si="21"/>
        <v>0.81638791536703303</v>
      </c>
      <c r="AK57" s="10">
        <f t="shared" si="21"/>
        <v>0.7421708321518482</v>
      </c>
      <c r="AL57" s="10">
        <f t="shared" si="21"/>
        <v>0.67470075650168015</v>
      </c>
      <c r="AM57" s="10">
        <f t="shared" si="21"/>
        <v>0.61336432409243646</v>
      </c>
      <c r="AN57" s="10">
        <f t="shared" si="21"/>
        <v>0.557603930993124</v>
      </c>
      <c r="AO57" s="10">
        <f t="shared" si="21"/>
        <v>0.50691266453920358</v>
      </c>
      <c r="AP57" s="10">
        <f t="shared" si="21"/>
        <v>0.46082969503563959</v>
      </c>
      <c r="AQ57" s="10">
        <f t="shared" si="21"/>
        <v>0.41893608639603597</v>
      </c>
      <c r="AR57" s="10">
        <f t="shared" si="21"/>
        <v>0.38085098763275993</v>
      </c>
      <c r="AU57" s="39" t="s">
        <v>563</v>
      </c>
      <c r="AV57" s="40">
        <f>ROUND((C14-AK13)/4,3)</f>
        <v>0.625</v>
      </c>
      <c r="BB57" s="39">
        <v>18</v>
      </c>
      <c r="BC57" s="44">
        <f>LOOKUP(AZ$54,BD$5:CN$5,BD57:CN57)</f>
        <v>0</v>
      </c>
      <c r="BD57" s="44"/>
      <c r="BH57" s="43" t="str">
        <f>CONCATENATE(BB57,CP97,CQ97,CR97)</f>
        <v>18 CC IX-0.625 IY+0</v>
      </c>
      <c r="BI57" s="43" t="str">
        <f>BE21</f>
        <v>G03 X-0.625 Y0.625 Z0.188 I-0.625 J0. F530</v>
      </c>
      <c r="BJ57" s="43" t="str">
        <f>CONCATENATE(BB57,DT124,DU124,DV124)</f>
        <v>18 CC IX-0.545 IY+0</v>
      </c>
      <c r="BL57" s="43" t="str">
        <f>CONCATENATE(BB57,DE106,EJ124,EK124,DG106)</f>
        <v>18 L IZ+1 FMAX</v>
      </c>
      <c r="BM57" s="43" t="str">
        <f>BK39</f>
        <v>#2=#2+1</v>
      </c>
      <c r="BN57" s="43" t="str">
        <f>CONCATENATE(BB57,CP88,CQ88,CR88)</f>
        <v>18 CP IPA+90 IZ+0.188 DR+</v>
      </c>
      <c r="BO57" s="4" t="str">
        <f>BI48</f>
        <v>G01 G41 X0.625 Y-0.625 F53</v>
      </c>
      <c r="BP57" s="43" t="str">
        <f>CONCATENATE(BB57,CP88,CQ88,CR88)</f>
        <v>18 CP IPA+90 IZ+0.188 DR+</v>
      </c>
      <c r="BS57" s="43" t="str">
        <f>BG36</f>
        <v>G03 X0. Y0. Z1.5 I-1.25 J0. F106</v>
      </c>
      <c r="BT57" s="43" t="str">
        <f>CONCATENATE(BB57,CP82,CQ82,CR82,CS82,CT82,CU82)</f>
        <v>18 L IX+0.625 IY-0.625 RL F53</v>
      </c>
      <c r="BU57" s="43" t="str">
        <f>BI36</f>
        <v>G03 X0. Y0. Z1.5 I-1.09 J0. F95</v>
      </c>
      <c r="BV57" s="125" t="str">
        <f>CONCATENATE(BB57,DT109,DU109,DV109,DW109,DX109,DY109)</f>
        <v>18 L IX+0.545 IY-0.545 RL F48</v>
      </c>
      <c r="BX57" s="125" t="str">
        <f>CONCATENATE(BB57,CP106,CQ106,CR106)</f>
        <v>18 L IZ+20.124 FMAX</v>
      </c>
      <c r="BY57" s="43" t="str">
        <f>BW30</f>
        <v>G03 X-0.625 Y0.625 Z0.188 I-0.625 J0. F530</v>
      </c>
      <c r="BZ57" s="125" t="str">
        <f>CONCATENATE(BB57,DE106,DF106,DG106)</f>
        <v>18 L IZ-1.876 FMAX</v>
      </c>
      <c r="CA57" s="43" t="str">
        <f>BI39</f>
        <v>G03 X-0.545 Y0.545 Z0.188 I-0.545 J0. F475</v>
      </c>
      <c r="CB57" s="125" t="str">
        <f>BZ57</f>
        <v>18 L IZ-1.876 FMAX</v>
      </c>
      <c r="CE57" s="43" t="str">
        <f>CC21</f>
        <v>G03 X0. C0. Z1.5 I-1.25 J0. F106</v>
      </c>
      <c r="CG57" s="43" t="str">
        <f>CF39</f>
        <v>G00 Z19.125</v>
      </c>
      <c r="CH57" s="43" t="str">
        <f>CE48</f>
        <v>G00 Z-1.876</v>
      </c>
      <c r="CJ57" s="43" t="str">
        <f>BS54</f>
        <v>WHILE[#2LT#1]DO2</v>
      </c>
      <c r="CK57" s="43" t="str">
        <f>CJ57</f>
        <v>WHILE[#2LT#1]DO2</v>
      </c>
      <c r="CM57" s="43" t="str">
        <f>CL30</f>
        <v>G03 X1.298 C1.286 Z0.375 I0.012 J1.286</v>
      </c>
      <c r="CN57" s="43" t="str">
        <f>CONCATENATE(FZ54,GA54,GB54,GX57,GD54,GE54,GF54,GG54,GH54,GI54,GJ54,GK54)</f>
        <v>G03 X1.138 C1.126 Z0.375 I0.012 J1.126</v>
      </c>
      <c r="DT57" s="18"/>
      <c r="DU57" s="18"/>
      <c r="DV57" s="18"/>
      <c r="DW57" s="18"/>
      <c r="DX57" s="18"/>
      <c r="DY57" s="18"/>
      <c r="DZ57" s="18"/>
      <c r="EA57" s="18"/>
      <c r="EB57" s="18"/>
      <c r="EC57" s="18"/>
      <c r="ED57" s="18"/>
      <c r="EE57" s="18"/>
      <c r="EF57" s="18"/>
      <c r="EG57" s="18"/>
      <c r="FY57" s="48"/>
      <c r="GW57" s="48">
        <v>18</v>
      </c>
      <c r="GX57" s="33" t="str">
        <f>IF(GB52=GB53,". C"," C")</f>
        <v xml:space="preserve"> C</v>
      </c>
    </row>
    <row r="58" spans="6:206" ht="20" customHeight="1">
      <c r="F58" s="134"/>
      <c r="I58" s="5"/>
      <c r="J58" s="34"/>
      <c r="K58" s="63"/>
      <c r="AA58" s="74"/>
      <c r="AD58" s="93"/>
      <c r="AG58" s="17">
        <f t="shared" si="22"/>
        <v>900</v>
      </c>
      <c r="AH58" s="7">
        <f t="shared" si="23"/>
        <v>2.7540187469837272</v>
      </c>
      <c r="AI58" s="10">
        <f t="shared" si="21"/>
        <v>0.81638791536703303</v>
      </c>
      <c r="AJ58" s="10">
        <f t="shared" si="21"/>
        <v>0.7421708321518482</v>
      </c>
      <c r="AK58" s="10">
        <f t="shared" si="21"/>
        <v>0.67470075650168015</v>
      </c>
      <c r="AL58" s="10">
        <f t="shared" si="21"/>
        <v>0.61336432409243646</v>
      </c>
      <c r="AM58" s="10">
        <f t="shared" si="21"/>
        <v>0.557603930993124</v>
      </c>
      <c r="AN58" s="10">
        <f t="shared" si="21"/>
        <v>0.50691266453920358</v>
      </c>
      <c r="AO58" s="10">
        <f t="shared" si="21"/>
        <v>0.46082969503563959</v>
      </c>
      <c r="AP58" s="10">
        <f t="shared" si="21"/>
        <v>0.41893608639603597</v>
      </c>
      <c r="AQ58" s="10">
        <f t="shared" si="21"/>
        <v>0.38085098763275993</v>
      </c>
      <c r="AR58" s="10">
        <f t="shared" si="21"/>
        <v>0.34622817057523625</v>
      </c>
      <c r="AV58"/>
      <c r="BB58" s="39"/>
      <c r="BP58" s="43"/>
      <c r="DT58" s="18"/>
      <c r="DU58" s="18"/>
      <c r="DV58" s="18"/>
      <c r="DW58" s="18"/>
      <c r="DX58" s="18"/>
      <c r="DY58" s="18"/>
      <c r="DZ58" s="18"/>
      <c r="EA58" s="18"/>
      <c r="EB58" s="18"/>
      <c r="EC58" s="18"/>
      <c r="ED58" s="18"/>
      <c r="EE58" s="18"/>
      <c r="EF58" s="18"/>
      <c r="EG58" s="18"/>
      <c r="GC58" s="33">
        <f>-(AW69+(4*GJ43))</f>
        <v>-0.59300000000000008</v>
      </c>
      <c r="GE58" s="33">
        <f>-AW69</f>
        <v>-0.54500000000000004</v>
      </c>
    </row>
    <row r="59" spans="6:206" ht="20" customHeight="1">
      <c r="F59" s="134"/>
      <c r="I59" s="5"/>
      <c r="J59" s="34"/>
      <c r="K59" s="63"/>
      <c r="AA59" s="74"/>
      <c r="AD59" s="93"/>
      <c r="AG59" s="17">
        <f t="shared" si="22"/>
        <v>1000</v>
      </c>
      <c r="AH59" s="7">
        <f t="shared" si="23"/>
        <v>3.1258112778265303</v>
      </c>
      <c r="AI59" s="10">
        <f t="shared" si="21"/>
        <v>0.7421708321518482</v>
      </c>
      <c r="AJ59" s="10">
        <f t="shared" si="21"/>
        <v>0.67470075650168015</v>
      </c>
      <c r="AK59" s="10">
        <f t="shared" si="21"/>
        <v>0.61336432409243646</v>
      </c>
      <c r="AL59" s="10">
        <f t="shared" si="21"/>
        <v>0.557603930993124</v>
      </c>
      <c r="AM59" s="10">
        <f t="shared" si="21"/>
        <v>0.50691266453920358</v>
      </c>
      <c r="AN59" s="10">
        <f t="shared" si="21"/>
        <v>0.46082969503563959</v>
      </c>
      <c r="AO59" s="10">
        <f t="shared" si="21"/>
        <v>0.41893608639603597</v>
      </c>
      <c r="AP59" s="10">
        <f t="shared" si="21"/>
        <v>0.38085098763275993</v>
      </c>
      <c r="AQ59" s="10">
        <f t="shared" si="21"/>
        <v>0.34622817057523625</v>
      </c>
      <c r="AR59" s="10">
        <f t="shared" si="21"/>
        <v>0.31475288234112386</v>
      </c>
      <c r="AV59"/>
      <c r="BB59" s="39"/>
      <c r="BP59" s="43"/>
      <c r="DT59" s="18"/>
      <c r="DU59" s="18"/>
      <c r="DV59" s="18"/>
      <c r="DW59" s="18"/>
      <c r="DX59" s="18"/>
      <c r="DY59" s="18"/>
      <c r="DZ59" s="18"/>
      <c r="EA59" s="18"/>
      <c r="EB59" s="18"/>
      <c r="EC59" s="18"/>
      <c r="ED59" s="18"/>
      <c r="EE59" s="18"/>
      <c r="EF59" s="18"/>
      <c r="EG59" s="18"/>
      <c r="GC59" s="25">
        <f>INT(GC58)</f>
        <v>-1</v>
      </c>
      <c r="GE59" s="25">
        <f>INT(GE58)</f>
        <v>-1</v>
      </c>
    </row>
    <row r="60" spans="6:206" ht="20" customHeight="1">
      <c r="F60" s="134"/>
      <c r="I60" s="5" t="str">
        <f t="shared" si="15"/>
        <v>D = diámetro de la rosca (mm)</v>
      </c>
      <c r="J60" s="50" t="s">
        <v>1911</v>
      </c>
      <c r="K60" s="63" t="s">
        <v>1212</v>
      </c>
      <c r="L60" s="50" t="s">
        <v>710</v>
      </c>
      <c r="M60" s="50" t="s">
        <v>1106</v>
      </c>
      <c r="N60" s="50" t="s">
        <v>941</v>
      </c>
      <c r="O60" s="34" t="s">
        <v>958</v>
      </c>
      <c r="P60" s="50" t="s">
        <v>1745</v>
      </c>
      <c r="Q60" s="34" t="s">
        <v>421</v>
      </c>
      <c r="R60" s="50" t="s">
        <v>1226</v>
      </c>
      <c r="S60" s="50" t="s">
        <v>1808</v>
      </c>
      <c r="T60" s="50" t="s">
        <v>1385</v>
      </c>
      <c r="U60" s="34" t="s">
        <v>1694</v>
      </c>
      <c r="V60" s="34" t="s">
        <v>364</v>
      </c>
      <c r="W60" s="34" t="s">
        <v>1449</v>
      </c>
      <c r="X60" s="34" t="s">
        <v>624</v>
      </c>
      <c r="Y60" s="34" t="s">
        <v>101</v>
      </c>
      <c r="Z60" s="34" t="s">
        <v>665</v>
      </c>
      <c r="AA60" s="74" t="s">
        <v>1420</v>
      </c>
      <c r="AB60" s="88" t="s">
        <v>1651</v>
      </c>
      <c r="AC60" s="50" t="s">
        <v>356</v>
      </c>
      <c r="AD60" s="93" t="s">
        <v>95</v>
      </c>
      <c r="AE60" s="50" t="s">
        <v>125</v>
      </c>
      <c r="AG60" s="17">
        <f t="shared" si="22"/>
        <v>1100</v>
      </c>
      <c r="AH60" s="7">
        <f t="shared" si="23"/>
        <v>3.547795800333112</v>
      </c>
      <c r="AI60" s="10">
        <f t="shared" si="21"/>
        <v>0.67470075650168015</v>
      </c>
      <c r="AJ60" s="10">
        <f t="shared" si="21"/>
        <v>0.61336432409243646</v>
      </c>
      <c r="AK60" s="10">
        <f t="shared" si="21"/>
        <v>0.557603930993124</v>
      </c>
      <c r="AL60" s="10">
        <f t="shared" si="21"/>
        <v>0.50691266453920358</v>
      </c>
      <c r="AM60" s="10">
        <f t="shared" si="21"/>
        <v>0.46082969503563959</v>
      </c>
      <c r="AN60" s="10">
        <f t="shared" si="21"/>
        <v>0.41893608639603597</v>
      </c>
      <c r="AO60" s="10">
        <f t="shared" si="21"/>
        <v>0.38085098763275993</v>
      </c>
      <c r="AP60" s="10">
        <f t="shared" si="21"/>
        <v>0.34622817057523625</v>
      </c>
      <c r="AQ60" s="10">
        <f t="shared" si="21"/>
        <v>0.31475288234112386</v>
      </c>
      <c r="AR60" s="10">
        <f t="shared" si="21"/>
        <v>0.28613898394647619</v>
      </c>
      <c r="AU60" s="33"/>
      <c r="AV60" s="33"/>
      <c r="AW60" s="33"/>
      <c r="AX60" s="33"/>
      <c r="AY60" s="33"/>
      <c r="BB60" s="39">
        <v>19</v>
      </c>
      <c r="BC60" s="44">
        <f>LOOKUP(AZ$54,BD$5:CN$5,BD60:CN60)</f>
        <v>0</v>
      </c>
      <c r="BD60" s="44"/>
      <c r="BH60" s="43" t="str">
        <f>CONCATENATE(BB60,CP100,CQ100,CR100,CS100)</f>
        <v>19 CP IPA+90 IZ+0.188 DR+ F530</v>
      </c>
      <c r="BI60" s="43" t="str">
        <f>BE24</f>
        <v>G01 G40 X-0.625 Y-0.625</v>
      </c>
      <c r="BJ60" s="43" t="str">
        <f>CONCATENATE(BB60,DT127,DU127,DV127,DW127)</f>
        <v>19 CP IPA+90 IZ+0.188 DR+ F475</v>
      </c>
      <c r="BM60" s="43" t="str">
        <f>BK42</f>
        <v>END1</v>
      </c>
      <c r="BN60" s="43" t="str">
        <f>CONCATENATE(BB60,CP91,CQ91,CR91)</f>
        <v>19 CC IX-1.25 IY+0</v>
      </c>
      <c r="BO60" s="4" t="str">
        <f>BI51</f>
        <v>G03 X0.625 Y0.625 Z0.188 I0. J0.625</v>
      </c>
      <c r="BP60" s="43" t="str">
        <f>CONCATENATE(BB60,DT118,DU118,DV118)</f>
        <v>19 CC IX-1.09 IY+0</v>
      </c>
      <c r="BS60" s="43" t="str">
        <f>BS30</f>
        <v>#2=#2+1</v>
      </c>
      <c r="BT60" s="43" t="str">
        <f>CONCATENATE(BB60,CP85,CQ85)</f>
        <v>19 CC IX+0 IY+0.625</v>
      </c>
      <c r="BU60" s="43" t="str">
        <f>BU30</f>
        <v>#2=#2+1</v>
      </c>
      <c r="BV60" s="125" t="str">
        <f>CONCATENATE(BB60,DT112,DU112)</f>
        <v>19 CC IX+0 IY+0.545</v>
      </c>
      <c r="BY60" s="43" t="str">
        <f>BW33</f>
        <v>G01 G40 X-0.673 Y-0.625</v>
      </c>
      <c r="BZ60" s="125" t="str">
        <f>CONCATENATE(BB60,CP82,CQ82,CR82,CS82,CT82,CU82)</f>
        <v>19 L IX+0.625 IY-0.625 RL F53</v>
      </c>
      <c r="CA60" s="43" t="str">
        <f>CONCATENATE(FZ60,GA60,GB60,GC60,GD60,GE60,GF60)</f>
        <v>G01 G40 X-0.593 Y-0.545</v>
      </c>
      <c r="CB60" s="125" t="str">
        <f>CONCATENATE(BB60,DT109,DU109,DV109,DW109,DX109,DY109)</f>
        <v>19 L IX+0.545 IY-0.545 RL F48</v>
      </c>
      <c r="CE60" s="43" t="str">
        <f>CC24</f>
        <v>G03 X-0.625 C0.625 Z0.188 I-0.625 J0. F530</v>
      </c>
      <c r="CG60" s="43" t="str">
        <f>CF42</f>
        <v>#2=#2+1</v>
      </c>
      <c r="CH60" s="43" t="str">
        <f>CE51</f>
        <v>G01 G41 X0.625 C-0.625 F53</v>
      </c>
      <c r="CJ60" s="43" t="str">
        <f>CD39</f>
        <v>G03 X0. C0. Z1.5 I-1.25 J0. F106</v>
      </c>
      <c r="CK60" s="43" t="str">
        <f>CE39</f>
        <v>G03 X0. C0. Z1.5 I-1.09 J0. F95</v>
      </c>
      <c r="CM60" s="43" t="str">
        <f>CL33</f>
        <v>G03 X-0.625 C0.625 Z0.188 I-0.625 J0. F530</v>
      </c>
      <c r="CN60" s="43" t="str">
        <f>CE42</f>
        <v>G03 X-0.545 C0.545 Z0.188 I-0.545 J0. F475</v>
      </c>
      <c r="DT60" s="18"/>
      <c r="DU60" s="18"/>
      <c r="DV60" s="18"/>
      <c r="DW60" s="18"/>
      <c r="DX60" s="18"/>
      <c r="DY60" s="18"/>
      <c r="DZ60" s="18"/>
      <c r="EA60" s="18"/>
      <c r="EB60" s="18"/>
      <c r="EC60" s="18"/>
      <c r="ED60" s="18"/>
      <c r="EE60" s="18"/>
      <c r="EF60" s="18"/>
      <c r="EG60" s="18"/>
      <c r="FY60" s="48">
        <v>19</v>
      </c>
      <c r="FZ60" s="33" t="s">
        <v>568</v>
      </c>
      <c r="GA60" s="33" t="s">
        <v>562</v>
      </c>
      <c r="GB60" s="33" t="s">
        <v>570</v>
      </c>
      <c r="GC60" s="18" t="str">
        <f>SUBSTITUTE(GC58,",",".")</f>
        <v>-0.593</v>
      </c>
      <c r="GD60" s="18" t="str">
        <f>IF(GC58=GC59,". Y"," Y")</f>
        <v xml:space="preserve"> Y</v>
      </c>
      <c r="GE60" s="18" t="str">
        <f>SUBSTITUTE(GE58,",",".")</f>
        <v>-0.545</v>
      </c>
      <c r="GF60" s="18" t="str">
        <f>IF(GE58=GE59,".","")</f>
        <v/>
      </c>
    </row>
    <row r="61" spans="6:206" ht="20" customHeight="1">
      <c r="F61" s="134"/>
      <c r="I61" s="5" t="str">
        <f t="shared" si="15"/>
        <v>P = paso (mm)</v>
      </c>
      <c r="J61" s="50" t="s">
        <v>1912</v>
      </c>
      <c r="K61" s="63" t="s">
        <v>685</v>
      </c>
      <c r="L61" s="50" t="s">
        <v>906</v>
      </c>
      <c r="M61" s="50" t="s">
        <v>1235</v>
      </c>
      <c r="N61" s="50" t="s">
        <v>966</v>
      </c>
      <c r="O61" s="34" t="s">
        <v>959</v>
      </c>
      <c r="P61" s="50" t="s">
        <v>1746</v>
      </c>
      <c r="Q61" s="34" t="s">
        <v>422</v>
      </c>
      <c r="R61" s="50" t="s">
        <v>1227</v>
      </c>
      <c r="S61" s="50" t="s">
        <v>1809</v>
      </c>
      <c r="T61" s="50" t="s">
        <v>1386</v>
      </c>
      <c r="U61" s="34" t="s">
        <v>1695</v>
      </c>
      <c r="V61" s="34" t="s">
        <v>365</v>
      </c>
      <c r="W61" s="34" t="s">
        <v>1270</v>
      </c>
      <c r="X61" s="34" t="s">
        <v>704</v>
      </c>
      <c r="Y61" s="34" t="s">
        <v>45</v>
      </c>
      <c r="Z61" s="34" t="s">
        <v>685</v>
      </c>
      <c r="AA61" s="74" t="s">
        <v>1421</v>
      </c>
      <c r="AB61" s="88" t="s">
        <v>1652</v>
      </c>
      <c r="AC61" s="50" t="s">
        <v>357</v>
      </c>
      <c r="AD61" s="93" t="s">
        <v>96</v>
      </c>
      <c r="AE61" s="50" t="s">
        <v>1434</v>
      </c>
      <c r="AG61" s="17">
        <f t="shared" si="22"/>
        <v>1200</v>
      </c>
      <c r="AH61" s="7">
        <f t="shared" si="23"/>
        <v>4.0267482333780826</v>
      </c>
      <c r="AI61" s="10">
        <f t="shared" si="21"/>
        <v>0.61336432409243646</v>
      </c>
      <c r="AJ61" s="10">
        <f t="shared" si="21"/>
        <v>0.557603930993124</v>
      </c>
      <c r="AK61" s="10">
        <f t="shared" si="21"/>
        <v>0.50691266453920358</v>
      </c>
      <c r="AL61" s="10">
        <f t="shared" si="21"/>
        <v>0.46082969503563959</v>
      </c>
      <c r="AM61" s="10">
        <f t="shared" si="21"/>
        <v>0.41893608639603597</v>
      </c>
      <c r="AN61" s="10">
        <f t="shared" si="21"/>
        <v>0.38085098763275993</v>
      </c>
      <c r="AO61" s="10">
        <f t="shared" si="21"/>
        <v>0.34622817057523625</v>
      </c>
      <c r="AP61" s="10">
        <f t="shared" si="21"/>
        <v>0.31475288234112386</v>
      </c>
      <c r="AQ61" s="10">
        <f t="shared" si="21"/>
        <v>0.28613898394647619</v>
      </c>
      <c r="AR61" s="10">
        <f t="shared" si="21"/>
        <v>0.26012634904225107</v>
      </c>
      <c r="AU61" s="7" t="s">
        <v>657</v>
      </c>
      <c r="AV61" s="7" t="s">
        <v>833</v>
      </c>
      <c r="AW61" s="7" t="s">
        <v>563</v>
      </c>
      <c r="AX61" s="7" t="s">
        <v>909</v>
      </c>
      <c r="AY61" s="7" t="s">
        <v>910</v>
      </c>
      <c r="BB61" s="39"/>
      <c r="BP61" s="43"/>
      <c r="DT61" s="18"/>
      <c r="DU61" s="18"/>
      <c r="DV61" s="18"/>
      <c r="DW61" s="18"/>
      <c r="DX61" s="18"/>
      <c r="DY61" s="18"/>
      <c r="DZ61" s="18"/>
      <c r="EA61" s="18"/>
      <c r="EB61" s="18"/>
      <c r="EC61" s="18"/>
      <c r="ED61" s="18"/>
      <c r="EE61" s="18"/>
      <c r="EF61" s="18"/>
      <c r="EG61" s="18"/>
    </row>
    <row r="62" spans="6:206" ht="20" customHeight="1">
      <c r="F62" s="134"/>
      <c r="I62" s="5" t="str">
        <f t="shared" si="15"/>
        <v>P = paso (TPI)</v>
      </c>
      <c r="J62" s="34" t="s">
        <v>1913</v>
      </c>
      <c r="K62" s="63" t="s">
        <v>1213</v>
      </c>
      <c r="L62" s="34" t="s">
        <v>981</v>
      </c>
      <c r="M62" s="34" t="s">
        <v>1236</v>
      </c>
      <c r="N62" s="34" t="s">
        <v>967</v>
      </c>
      <c r="O62" s="34" t="s">
        <v>960</v>
      </c>
      <c r="P62" s="34" t="s">
        <v>1747</v>
      </c>
      <c r="Q62" s="34" t="s">
        <v>423</v>
      </c>
      <c r="R62" s="34" t="s">
        <v>1228</v>
      </c>
      <c r="S62" s="34" t="s">
        <v>1810</v>
      </c>
      <c r="T62" s="34" t="s">
        <v>1460</v>
      </c>
      <c r="U62" s="34" t="s">
        <v>767</v>
      </c>
      <c r="V62" s="34" t="s">
        <v>366</v>
      </c>
      <c r="W62" s="34" t="s">
        <v>1136</v>
      </c>
      <c r="X62" s="34" t="s">
        <v>629</v>
      </c>
      <c r="Y62" s="34" t="s">
        <v>102</v>
      </c>
      <c r="Z62" s="34" t="s">
        <v>767</v>
      </c>
      <c r="AA62" s="74" t="s">
        <v>1602</v>
      </c>
      <c r="AB62" s="88" t="s">
        <v>1653</v>
      </c>
      <c r="AC62" s="34" t="s">
        <v>358</v>
      </c>
      <c r="AD62" s="93" t="s">
        <v>97</v>
      </c>
      <c r="AE62" s="50" t="s">
        <v>1435</v>
      </c>
      <c r="AG62" s="13"/>
      <c r="AH62" s="15"/>
      <c r="AI62" s="10"/>
      <c r="AJ62" s="9"/>
      <c r="AK62" s="10"/>
      <c r="AL62" s="10"/>
      <c r="AM62" s="10"/>
      <c r="AN62" s="10"/>
      <c r="AO62" s="10"/>
      <c r="AP62" s="10"/>
      <c r="AQ62" s="10"/>
      <c r="AR62" s="10"/>
      <c r="AU62" s="25">
        <v>1</v>
      </c>
      <c r="AV62" s="25">
        <f>ROUND(C14-(2*0.33*AI64),2)</f>
        <v>9.4700000000000006</v>
      </c>
      <c r="AW62" s="40">
        <f>ROUND((AV62-AK$13)/4,3)</f>
        <v>0.49299999999999999</v>
      </c>
      <c r="AX62" s="25">
        <f>ROUND(C$30*(AV62-AK$13)/AV62,0)</f>
        <v>88</v>
      </c>
      <c r="AY62" s="28">
        <f>287*AV62/C$30</f>
        <v>6.4404976303317545</v>
      </c>
      <c r="BP62" s="43"/>
      <c r="DT62" s="18"/>
      <c r="DU62" s="18"/>
      <c r="DV62" s="18"/>
      <c r="DW62" s="18"/>
      <c r="DX62" s="18"/>
      <c r="DY62" s="18"/>
      <c r="DZ62" s="18"/>
      <c r="EA62" s="18"/>
      <c r="EB62" s="18"/>
      <c r="EC62" s="18"/>
      <c r="ED62" s="18"/>
      <c r="EE62" s="18"/>
      <c r="EF62" s="18"/>
      <c r="EG62" s="18"/>
    </row>
    <row r="63" spans="6:206" ht="20" customHeight="1">
      <c r="F63" s="134"/>
      <c r="I63" s="5" t="str">
        <f t="shared" si="15"/>
        <v>L = longitud de la rosca (mm)</v>
      </c>
      <c r="J63" s="50" t="s">
        <v>1914</v>
      </c>
      <c r="K63" s="63" t="s">
        <v>1214</v>
      </c>
      <c r="L63" s="50" t="s">
        <v>612</v>
      </c>
      <c r="M63" s="50" t="s">
        <v>1237</v>
      </c>
      <c r="N63" s="50" t="s">
        <v>1132</v>
      </c>
      <c r="O63" s="34" t="s">
        <v>859</v>
      </c>
      <c r="P63" s="50" t="s">
        <v>1748</v>
      </c>
      <c r="Q63" s="34" t="s">
        <v>512</v>
      </c>
      <c r="R63" s="50" t="s">
        <v>1229</v>
      </c>
      <c r="S63" s="50" t="s">
        <v>1811</v>
      </c>
      <c r="T63" s="50" t="s">
        <v>1461</v>
      </c>
      <c r="U63" s="34" t="s">
        <v>1696</v>
      </c>
      <c r="V63" s="34" t="s">
        <v>367</v>
      </c>
      <c r="W63" s="34" t="s">
        <v>1192</v>
      </c>
      <c r="X63" s="34" t="s">
        <v>630</v>
      </c>
      <c r="Y63" s="34" t="s">
        <v>103</v>
      </c>
      <c r="Z63" s="34" t="s">
        <v>740</v>
      </c>
      <c r="AA63" s="74" t="s">
        <v>1603</v>
      </c>
      <c r="AB63" s="88" t="s">
        <v>1654</v>
      </c>
      <c r="AC63" s="50" t="s">
        <v>465</v>
      </c>
      <c r="AD63" s="93" t="s">
        <v>218</v>
      </c>
      <c r="AE63" s="50" t="s">
        <v>126</v>
      </c>
      <c r="AG63" s="13"/>
      <c r="AH63" s="15"/>
      <c r="AI63" s="10"/>
      <c r="AJ63" s="9"/>
      <c r="AK63" s="15" t="s">
        <v>662</v>
      </c>
      <c r="AL63" s="15" t="s">
        <v>1009</v>
      </c>
      <c r="AM63" s="10"/>
      <c r="AN63" s="10"/>
      <c r="AO63" s="10"/>
      <c r="AP63" s="10"/>
      <c r="AQ63" s="10"/>
      <c r="AR63" s="10"/>
      <c r="AU63" s="25">
        <v>2</v>
      </c>
      <c r="AV63" s="25">
        <f>C14</f>
        <v>10</v>
      </c>
      <c r="AW63" s="40">
        <f>ROUND((AV63-AK$13)/4,3)</f>
        <v>0.625</v>
      </c>
      <c r="AX63" s="25">
        <f>ROUND(C$30*(AV63-AK$13)/AV63,0)</f>
        <v>106</v>
      </c>
      <c r="AY63" s="28">
        <f>287*AV63/C$30</f>
        <v>6.8009478672985786</v>
      </c>
      <c r="BB63" s="39">
        <v>20</v>
      </c>
      <c r="BC63" s="44">
        <f>LOOKUP(AZ$54,BD$5:CN$5,BD63:CN63)</f>
        <v>0</v>
      </c>
      <c r="BD63" s="44"/>
      <c r="BH63" s="43" t="str">
        <f>CONCATENATE(BB63,CP103,CQ103,CR103,CS103,CT103)</f>
        <v>20 L IX-0.625 IY-0.625 R0</v>
      </c>
      <c r="BI63" s="43" t="str">
        <f>BE27</f>
        <v>G00 Z20.124</v>
      </c>
      <c r="BJ63" s="43" t="str">
        <f>CONCATENATE(BB63,DT130,DU130,DV130,DW130,DX130)</f>
        <v>20 L IX-0.545 IY-0.545 R0</v>
      </c>
      <c r="BM63" s="43" t="str">
        <f>BK45</f>
        <v>G00 Z1.</v>
      </c>
      <c r="BN63" s="43" t="str">
        <f>CONCATENATE(BB63,CP94,CQ94,CR94,C31)</f>
        <v>20 CP IPA+360 IZ+1.5 DR+ F106</v>
      </c>
      <c r="BO63" s="4" t="str">
        <f>BI54</f>
        <v>G03 X0. Y0. Z1.5 I-1.25 J0. F106</v>
      </c>
      <c r="BP63" s="43" t="str">
        <f>CONCATENATE(BB63,CP94,CQ94,CR94,AX69)</f>
        <v>20 CP IPA+360 IZ+1.5 DR+ F95</v>
      </c>
      <c r="BS63" s="43" t="str">
        <f>CONCATENATE(ES63)</f>
        <v>END2</v>
      </c>
      <c r="BT63" s="43" t="str">
        <f>CONCATENATE(BB63,CP88,CQ88,CR88)</f>
        <v>20 CP IPA+90 IZ+0.188 DR+</v>
      </c>
      <c r="BU63" s="43" t="str">
        <f>BS63</f>
        <v>END2</v>
      </c>
      <c r="BV63" s="125" t="str">
        <f>BT63</f>
        <v>20 CP IPA+90 IZ+0.188 DR+</v>
      </c>
      <c r="BY63" s="43" t="str">
        <f>BW36</f>
        <v>G00 Z20.124</v>
      </c>
      <c r="BZ63" s="125" t="str">
        <f>CONCATENATE(BB63,CP85,CQ85)</f>
        <v>20 CC IX+0 IY+0.625</v>
      </c>
      <c r="CA63" s="43" t="str">
        <f>BI27</f>
        <v>G00 Z-1.876</v>
      </c>
      <c r="CB63" s="125" t="str">
        <f>CONCATENATE(BB63,DT112,DU112)</f>
        <v>20 CC IX+0 IY+0.545</v>
      </c>
      <c r="CE63" s="43" t="str">
        <f>CC27</f>
        <v>G01 G40 X-0.625 C-0.625</v>
      </c>
      <c r="CG63" s="43" t="str">
        <f>CF45</f>
        <v>END1</v>
      </c>
      <c r="CH63" s="43" t="str">
        <f>CE54</f>
        <v>G03 X0.625 C0.625 Z0.188 I0. J0.625</v>
      </c>
      <c r="CJ63" s="43" t="str">
        <f>BS60</f>
        <v>#2=#2+1</v>
      </c>
      <c r="CK63" s="43" t="str">
        <f>CJ63</f>
        <v>#2=#2+1</v>
      </c>
      <c r="CM63" s="43" t="str">
        <f>CL36</f>
        <v>G01 G40 X-0.673 C-0.625</v>
      </c>
      <c r="CN63" s="43" t="str">
        <f>CONCATENATE(FZ60,GA60,GB60,GC60,GX63,GE60,GF60)</f>
        <v>G01 G40 X-0.593 C-0.545</v>
      </c>
      <c r="DT63" s="18"/>
      <c r="DU63" s="18"/>
      <c r="DV63" s="18"/>
      <c r="DW63" s="18"/>
      <c r="DX63" s="18"/>
      <c r="DY63" s="18"/>
      <c r="DZ63" s="18"/>
      <c r="EA63" s="18"/>
      <c r="EB63" s="18"/>
      <c r="EC63" s="18"/>
      <c r="ED63" s="18"/>
      <c r="EE63" s="18"/>
      <c r="EF63" s="18"/>
      <c r="EG63" s="18"/>
      <c r="ER63" s="48">
        <v>20</v>
      </c>
      <c r="ES63" s="18" t="s">
        <v>971</v>
      </c>
      <c r="GW63" s="48">
        <v>20</v>
      </c>
      <c r="GX63" s="33" t="str">
        <f>IF(GC58=GC59,". C"," C")</f>
        <v xml:space="preserve"> C</v>
      </c>
    </row>
    <row r="64" spans="6:206" ht="20" customHeight="1">
      <c r="F64" s="134"/>
      <c r="I64" s="5" t="str">
        <f t="shared" si="15"/>
        <v>S = distancia de seguridad (mm)</v>
      </c>
      <c r="J64" s="50" t="s">
        <v>1915</v>
      </c>
      <c r="K64" s="63" t="s">
        <v>1216</v>
      </c>
      <c r="L64" s="50" t="s">
        <v>999</v>
      </c>
      <c r="M64" s="50" t="s">
        <v>1217</v>
      </c>
      <c r="N64" s="50" t="s">
        <v>1133</v>
      </c>
      <c r="O64" s="34" t="s">
        <v>768</v>
      </c>
      <c r="P64" s="50" t="s">
        <v>1749</v>
      </c>
      <c r="Q64" s="34" t="s">
        <v>513</v>
      </c>
      <c r="R64" s="50" t="s">
        <v>1230</v>
      </c>
      <c r="S64" s="50" t="s">
        <v>1812</v>
      </c>
      <c r="T64" s="50" t="s">
        <v>1462</v>
      </c>
      <c r="U64" s="34" t="s">
        <v>1697</v>
      </c>
      <c r="V64" s="34" t="s">
        <v>283</v>
      </c>
      <c r="W64" s="34" t="s">
        <v>1193</v>
      </c>
      <c r="X64" s="34" t="s">
        <v>745</v>
      </c>
      <c r="Y64" s="34" t="s">
        <v>104</v>
      </c>
      <c r="Z64" s="34" t="s">
        <v>546</v>
      </c>
      <c r="AA64" s="74" t="s">
        <v>1604</v>
      </c>
      <c r="AB64" s="88" t="s">
        <v>1453</v>
      </c>
      <c r="AC64" s="50" t="s">
        <v>466</v>
      </c>
      <c r="AD64" s="93" t="s">
        <v>219</v>
      </c>
      <c r="AE64" s="50" t="s">
        <v>244</v>
      </c>
      <c r="AG64" s="13"/>
      <c r="AH64" s="13" t="s">
        <v>908</v>
      </c>
      <c r="AI64" s="10">
        <f>0.54*AR6</f>
        <v>0.81</v>
      </c>
      <c r="AJ64" s="9"/>
      <c r="AK64" s="9"/>
      <c r="AL64" s="9"/>
      <c r="AM64" s="10"/>
      <c r="AN64" s="10" t="b">
        <f>IF(AL68=101,AI50,IF(AL68=102,AJ50,IF(AL68=103,AK50,IF(AL68=104,AL50,IF(AL68=105,AM50,IF(AL68=106,AN50,IF(AL68=107,AO50,IF(AL68=108,AP50))))))))</f>
        <v>0</v>
      </c>
      <c r="AO64" s="10" t="b">
        <f>IF(AL68=501,AI54,IF(AL68=502,AJ54,IF(AL68=503,AK54,IF(AL68=504,AL54,IF(AL68=505,AM54,IF(AL68=506,AN54,IF(AL68=507,AO54,IF(AL68=508,AP54))))))))</f>
        <v>0</v>
      </c>
      <c r="AP64" s="10" t="b">
        <f>IF(AL68=901,AI58,IF(AL68=902,AJ58,IF(AL68=903,AK58,IF(AL68=904,AL58,IF(AL68=905,AM58,IF(AL68=906,AN58,IF(AL68=907,AO58,IF(AL68=908,AP58))))))))</f>
        <v>0</v>
      </c>
      <c r="AQ64" s="10"/>
      <c r="AR64" s="10"/>
      <c r="AU64" s="25"/>
      <c r="AW64" s="25"/>
      <c r="AX64" s="25"/>
      <c r="AY64" s="28">
        <f>ROUND(AY62+AY63,2)</f>
        <v>13.24</v>
      </c>
      <c r="BP64" s="43"/>
      <c r="DT64" s="18"/>
      <c r="DU64" s="18"/>
      <c r="DV64" s="18"/>
      <c r="DW64" s="18"/>
      <c r="DX64" s="18"/>
      <c r="DY64" s="18"/>
      <c r="DZ64" s="18"/>
      <c r="EA64" s="18"/>
      <c r="EB64" s="18"/>
      <c r="EC64" s="18"/>
      <c r="ED64" s="18"/>
      <c r="EE64" s="18"/>
      <c r="EF64" s="18"/>
      <c r="EG64" s="18"/>
    </row>
    <row r="65" spans="6:206" ht="20" customHeight="1">
      <c r="F65" s="134"/>
      <c r="I65" s="5"/>
      <c r="J65" s="34"/>
      <c r="K65" s="63"/>
      <c r="L65" s="50"/>
      <c r="AA65" s="74"/>
      <c r="AD65" s="93"/>
      <c r="AG65" s="13"/>
      <c r="AH65" s="13" t="s">
        <v>931</v>
      </c>
      <c r="AI65" s="11">
        <f>AI64/AK13</f>
        <v>0.10800000000000001</v>
      </c>
      <c r="AJ65" s="9"/>
      <c r="AK65" s="25">
        <f>LOOKUP(AI65,AI49:AR49,AI48:AR48)</f>
        <v>6</v>
      </c>
      <c r="AL65" s="25">
        <f>LOOKUP(AI66,AH50:AH61,AG50:AG61)</f>
        <v>800</v>
      </c>
      <c r="AM65" s="10"/>
      <c r="AN65" s="10" t="b">
        <f>IF(AL68=109,AQ50,IF(AL68=110,AR50,IF(AL68=201,AI51,IF(AL68=202,AJ51,IF(AL68=203,AK51,IF(AL68=204,AL51,IF(AL68=205,AM51,IF(AL68=206,AN51))))))))</f>
        <v>0</v>
      </c>
      <c r="AO65" s="10" t="b">
        <f>IF(AL68=509,AQ54,IF(AL68=510,AR54,IF(AL68=601,AI55,IF(AL68=602,AJ55,IF(AL68=603,AK55,IF(AL68=604,AL55,IF(AL68=605,AM55,IF(AL68=606,AN55))))))))</f>
        <v>0</v>
      </c>
      <c r="AP65" s="10" t="b">
        <f>IF(AL68=909,AQ58,IF(AL68=910,AR58,IF(AL68=1001,AI59,IF(AL68=1002,AJ59,IF(AL68=1003,AK59,IF(AL68=1004,AL59,IF(AL68=1005,AM59,IF(AL68=1006,AN59))))))))</f>
        <v>0</v>
      </c>
      <c r="AQ65" s="10"/>
      <c r="AR65" s="10"/>
      <c r="AU65" s="33"/>
      <c r="AV65" s="33"/>
      <c r="AW65" s="33"/>
      <c r="AX65" s="33"/>
      <c r="AY65" s="33"/>
      <c r="BP65" s="43"/>
      <c r="DT65" s="25"/>
      <c r="DU65" s="25"/>
      <c r="DV65" s="25"/>
      <c r="DW65" s="25"/>
      <c r="DX65" s="25"/>
      <c r="DY65" s="25"/>
      <c r="DZ65" s="25"/>
      <c r="EA65" s="25"/>
      <c r="EB65" s="25"/>
      <c r="EC65" s="25"/>
      <c r="ED65" s="25"/>
    </row>
    <row r="66" spans="6:206" ht="20" customHeight="1">
      <c r="F66" s="134"/>
      <c r="I66" s="5"/>
      <c r="J66" s="34"/>
      <c r="K66" s="63"/>
      <c r="L66" s="50"/>
      <c r="N66" s="50"/>
      <c r="T66" s="50"/>
      <c r="AA66" s="74"/>
      <c r="AD66" s="93"/>
      <c r="AG66" s="13"/>
      <c r="AH66" s="13" t="s">
        <v>1010</v>
      </c>
      <c r="AI66" s="10">
        <f>AI67/AK13</f>
        <v>2.6666666666666665</v>
      </c>
      <c r="AJ66" s="9"/>
      <c r="AK66" s="9"/>
      <c r="AL66" s="9"/>
      <c r="AM66" s="10"/>
      <c r="AN66" s="10" t="b">
        <f>IF(AL68=207,AO51,IF(AL68=208,AP51,IF(AL68=209,AQ51,IF(AL68=210,AR51,IF(AL68=301,AI52,IF(AL68=302,AJ52,IF(AL68=303,AK52,IF(AL68=304,AL52))))))))</f>
        <v>0</v>
      </c>
      <c r="AO66" s="10" t="b">
        <f>IF(AL68=607,AO55,IF(AL68=608,AP55,IF(AL68=609,AQ55,IF(AL68=610,AR55,IF(AL68=701,AI56,IF(AL68=702,AJ56,IF(AL68=703,AK56,IF(AL68=704,AL56))))))))</f>
        <v>0</v>
      </c>
      <c r="AP66" s="10" t="b">
        <f>IF(AL68=1007,AO59,IF(AL68=1008,AP59,IF(AL68=1009,AQ59,IF(AL68=1010,AR59,IF(AL68=1101,AI60,IF(AL68=1102,AJ60,IF(AL68=1103,AK60,IF(AL68=1104,AL60))))))))</f>
        <v>0</v>
      </c>
      <c r="AQ66" s="10"/>
      <c r="AR66" s="10"/>
      <c r="AV66"/>
      <c r="BB66" s="39">
        <v>21</v>
      </c>
      <c r="BC66" s="44">
        <f>LOOKUP(AZ$54,BD$5:CN$5,BD66:CN66)</f>
        <v>0</v>
      </c>
      <c r="BD66" s="44"/>
      <c r="BH66" s="43" t="str">
        <f>CONCATENATE(BB66,CP106,CQ106,CR106)</f>
        <v>21 L IZ+20.124 FMAX</v>
      </c>
      <c r="BJ66" s="43" t="str">
        <f>CONCATENATE(BB66,DT133,DU133,DV133)</f>
        <v>21 L IZ-1.876 FMAX</v>
      </c>
      <c r="BN66" s="43" t="str">
        <f>CONCATENATE(BB66,CP97,CQ97,CR97)</f>
        <v>21 CC IX-0.625 IY+0</v>
      </c>
      <c r="BO66" s="4" t="str">
        <f>BI57</f>
        <v>G03 X-0.625 Y0.625 Z0.188 I-0.625 J0. F530</v>
      </c>
      <c r="BP66" s="43" t="str">
        <f>CONCATENATE(BB66,DT124,DU124,DV124)</f>
        <v>21 CC IX-0.545 IY+0</v>
      </c>
      <c r="BS66" s="43" t="str">
        <f>BG39</f>
        <v>G03 X-0.625 Y0.625 Z0.188 I-0.625 J0. F530</v>
      </c>
      <c r="BT66" s="43" t="str">
        <f>CONCATENATE(BB66,EI85)</f>
        <v>21 FN 0: Q2 =+0</v>
      </c>
      <c r="BU66" s="43" t="str">
        <f>BI39</f>
        <v>G03 X-0.545 Y0.545 Z0.188 I-0.545 J0. F475</v>
      </c>
      <c r="BV66" s="125" t="str">
        <f>BT66</f>
        <v>21 FN 0: Q2 =+0</v>
      </c>
      <c r="BZ66" s="125" t="str">
        <f>CONCATENATE(BB66,CP88,CQ88,CR88)</f>
        <v>21 CP IPA+90 IZ+0.188 DR+</v>
      </c>
      <c r="CA66" s="43" t="str">
        <f>BW12</f>
        <v>G01 G41 X0.625 Y-0.625 F53</v>
      </c>
      <c r="CB66" s="125" t="str">
        <f>BZ66</f>
        <v>21 CP IPA+90 IZ+0.188 DR+</v>
      </c>
      <c r="CE66" s="43" t="str">
        <f>CC30</f>
        <v>G13.1</v>
      </c>
      <c r="CG66" s="43" t="str">
        <f>CF48</f>
        <v>G13.1</v>
      </c>
      <c r="CH66" s="43" t="str">
        <f>CE57</f>
        <v>G03 X0. C0. Z1.5 I-1.25 J0. F106</v>
      </c>
      <c r="CJ66" s="43" t="str">
        <f>BS63</f>
        <v>END2</v>
      </c>
      <c r="CK66" s="43" t="str">
        <f>CJ66</f>
        <v>END2</v>
      </c>
      <c r="CM66" s="43" t="str">
        <f>CL39</f>
        <v>G13.1</v>
      </c>
      <c r="CN66" s="43" t="str">
        <f>CE30</f>
        <v>G00 Z-1.876</v>
      </c>
    </row>
    <row r="67" spans="6:206" ht="20" customHeight="1">
      <c r="F67" s="134"/>
      <c r="I67" s="5"/>
      <c r="J67" s="34"/>
      <c r="K67" s="63"/>
      <c r="AA67" s="74"/>
      <c r="AD67" s="93"/>
      <c r="AG67" s="13"/>
      <c r="AH67" s="15" t="s">
        <v>1011</v>
      </c>
      <c r="AI67" s="10">
        <f>IF(C16&lt;=AQ75,C16,AQ75)</f>
        <v>20</v>
      </c>
      <c r="AJ67" s="9"/>
      <c r="AK67" s="10"/>
      <c r="AL67" s="10"/>
      <c r="AM67" s="10"/>
      <c r="AN67" s="10" t="b">
        <f>IF(AL68=305,AM52,IF(AL68=306,AN52,IF(AL68=307,AO52,IF(AL68=308,AP52,IF(AL68=309,AQ52,IF(AL68=310,AR52,IF(AL68=401,AI53,IF(AL68=402,AJ53))))))))</f>
        <v>0</v>
      </c>
      <c r="AO67" s="10" t="b">
        <f>IF(AL68=705,AM56,IF(AL68=706,AN56,IF(AL68=707,AO56,IF(AL68=708,AP56,IF(AL68=709,AQ56,IF(AL68=710,AR56,IF(AL68=801,AI57,IF(AL68=802,AJ57))))))))</f>
        <v>0</v>
      </c>
      <c r="AP67" s="10" t="b">
        <f>IF(AL68=1105,AM60,IF(AL68=1106,AN60,IF(AL68=1107,AO60,IF(AL68=1108,AP60,IF(AL68=1109,AQ60,IF(AL68=1110,AR60,IF(AL68=1201,AI61,IF(AL68=1202,AJ61))))))))</f>
        <v>0</v>
      </c>
      <c r="AQ67" s="10"/>
      <c r="AR67" s="10"/>
      <c r="AU67" s="7" t="s">
        <v>657</v>
      </c>
      <c r="AV67" s="7" t="s">
        <v>833</v>
      </c>
      <c r="AW67" s="7" t="s">
        <v>563</v>
      </c>
      <c r="AX67" s="7" t="s">
        <v>909</v>
      </c>
      <c r="AY67" s="7" t="s">
        <v>910</v>
      </c>
      <c r="BB67" s="39"/>
      <c r="BP67" s="43"/>
      <c r="EM67" s="48"/>
    </row>
    <row r="68" spans="6:206" ht="20" customHeight="1">
      <c r="F68" s="134"/>
      <c r="I68" s="5" t="str">
        <f t="shared" si="15"/>
        <v>d = diámetro del corte (mm)</v>
      </c>
      <c r="J68" s="50" t="s">
        <v>1916</v>
      </c>
      <c r="K68" s="63" t="s">
        <v>1173</v>
      </c>
      <c r="L68" s="50" t="s">
        <v>893</v>
      </c>
      <c r="M68" s="50" t="s">
        <v>1218</v>
      </c>
      <c r="N68" s="50" t="s">
        <v>892</v>
      </c>
      <c r="O68" s="34" t="s">
        <v>848</v>
      </c>
      <c r="P68" s="50" t="s">
        <v>1750</v>
      </c>
      <c r="Q68" s="34" t="s">
        <v>514</v>
      </c>
      <c r="R68" s="50" t="s">
        <v>1231</v>
      </c>
      <c r="S68" s="50" t="s">
        <v>1813</v>
      </c>
      <c r="T68" s="50" t="s">
        <v>1463</v>
      </c>
      <c r="U68" s="34" t="s">
        <v>1698</v>
      </c>
      <c r="V68" s="34" t="s">
        <v>284</v>
      </c>
      <c r="W68" s="34" t="s">
        <v>1194</v>
      </c>
      <c r="X68" s="34" t="s">
        <v>746</v>
      </c>
      <c r="Y68" s="34" t="s">
        <v>105</v>
      </c>
      <c r="Z68" s="34" t="s">
        <v>764</v>
      </c>
      <c r="AA68" s="74" t="s">
        <v>1422</v>
      </c>
      <c r="AB68" s="34" t="s">
        <v>1655</v>
      </c>
      <c r="AC68" s="50" t="s">
        <v>467</v>
      </c>
      <c r="AD68" s="93" t="s">
        <v>220</v>
      </c>
      <c r="AE68" s="50" t="s">
        <v>245</v>
      </c>
      <c r="AG68" s="13"/>
      <c r="AH68" s="15"/>
      <c r="AI68" s="10"/>
      <c r="AJ68" s="9"/>
      <c r="AK68" s="10"/>
      <c r="AL68" s="6">
        <f>AL65+AK65</f>
        <v>806</v>
      </c>
      <c r="AM68" s="10"/>
      <c r="AN68" s="10" t="b">
        <f>IF(AL68=403,AK53,IF(AL68=404,AL53,IF(AL68=405,AM53,IF(AL68=406,AN53,IF(AL68=407,AO53,IF(AL68=408,AP53,IF(AL68=409,AQ53,IF(AL68=410,AR53))))))))</f>
        <v>0</v>
      </c>
      <c r="AO68" s="10">
        <f>IF(AL68=803,AK57,IF(AL68=804,AL57,IF(AL68=805,AM57,IF(AL68=806,AN57,IF(AL68=807,AO57,IF(AL68=808,AP57,IF(AL68=809,AQ57,IF(AL68=810,AR57))))))))</f>
        <v>0.557603930993124</v>
      </c>
      <c r="AP68" s="10" t="b">
        <f>IF(AL68=1203,AK61,IF(AL68=1204,AL61,IF(AL68=1205,AM61,IF(AL68=1206,AN61,IF(AL68=1207,AO61,IF(AL68=1208,AP61,IF(AL68=1209,AQ61,IF(AL68=1210,AR61))))))))</f>
        <v>0</v>
      </c>
      <c r="AQ68" s="7" t="s">
        <v>659</v>
      </c>
      <c r="AR68" s="10"/>
      <c r="AU68" s="25">
        <v>1</v>
      </c>
      <c r="AV68" s="25">
        <f>ROUND(C14-(2*0.5*AI64),2)</f>
        <v>9.19</v>
      </c>
      <c r="AW68" s="40">
        <f>ROUND((AV68-AK$13)/4,3)</f>
        <v>0.42299999999999999</v>
      </c>
      <c r="AX68" s="25">
        <f>ROUND(C$30*(AV68-AK$13)/AV68,0)</f>
        <v>78</v>
      </c>
      <c r="AY68" s="28">
        <f>287*AV68/C$30</f>
        <v>6.2500710900473928</v>
      </c>
      <c r="BP68" s="43"/>
      <c r="EM68" s="46"/>
    </row>
    <row r="69" spans="6:206" ht="20" customHeight="1">
      <c r="F69" s="134"/>
      <c r="I69" s="5" t="str">
        <f t="shared" si="15"/>
        <v>l = longitud del corte (mm)</v>
      </c>
      <c r="J69" s="50" t="s">
        <v>1917</v>
      </c>
      <c r="K69" s="63" t="s">
        <v>1088</v>
      </c>
      <c r="L69" s="34" t="s">
        <v>1000</v>
      </c>
      <c r="M69" s="50" t="s">
        <v>1219</v>
      </c>
      <c r="N69" s="50" t="s">
        <v>939</v>
      </c>
      <c r="O69" s="34" t="s">
        <v>696</v>
      </c>
      <c r="P69" s="50" t="s">
        <v>1751</v>
      </c>
      <c r="Q69" s="34" t="s">
        <v>515</v>
      </c>
      <c r="R69" s="50" t="s">
        <v>1232</v>
      </c>
      <c r="S69" s="50" t="s">
        <v>1814</v>
      </c>
      <c r="T69" s="50" t="s">
        <v>1465</v>
      </c>
      <c r="U69" s="34" t="s">
        <v>1699</v>
      </c>
      <c r="V69" s="34" t="s">
        <v>285</v>
      </c>
      <c r="W69" s="34" t="s">
        <v>1195</v>
      </c>
      <c r="X69" s="34" t="s">
        <v>747</v>
      </c>
      <c r="Y69" s="34" t="s">
        <v>11</v>
      </c>
      <c r="Z69" s="34" t="s">
        <v>874</v>
      </c>
      <c r="AA69" s="74" t="s">
        <v>1423</v>
      </c>
      <c r="AB69" s="34" t="s">
        <v>1656</v>
      </c>
      <c r="AC69" s="50" t="s">
        <v>468</v>
      </c>
      <c r="AD69" s="93" t="s">
        <v>221</v>
      </c>
      <c r="AE69" s="50" t="s">
        <v>265</v>
      </c>
      <c r="AG69" s="13"/>
      <c r="AH69" s="15"/>
      <c r="AI69" s="10"/>
      <c r="AJ69" s="9"/>
      <c r="AK69" s="10"/>
      <c r="AL69" s="10"/>
      <c r="AM69" s="10"/>
      <c r="AN69" s="10" t="b">
        <f>IF(AL68&gt;402,AN68,IF(AL68&gt;304,AN67,IF(AL68&gt;206,AN66,IF(AL68&gt;108,AN65,IF(AL68&gt;0,AN64)))))</f>
        <v>0</v>
      </c>
      <c r="AO69" s="10">
        <f>IF(AL68&gt;802,AO68,IF(AL68&gt;704,AO67,IF(AL68&gt;606,AO66,IF(AL68&gt;508,AO65,IF(AL68&gt;410,AO64)))))</f>
        <v>0.557603930993124</v>
      </c>
      <c r="AP69" s="10" t="b">
        <f>IF(AL68&gt;1202,AP68,IF(AL68&gt;1104,AP67,IF(AL68&gt;1006,AP66,IF(AL68&gt;908,AP65,IF(AL68&gt;810,AP64)))))</f>
        <v>0</v>
      </c>
      <c r="AQ69" s="31">
        <f>IF(AL68&gt;810,AP69,IF(AL68&gt;410,AO69,IF(AL68&gt;0,AN69)))</f>
        <v>0.557603930993124</v>
      </c>
      <c r="AR69" s="32" t="s">
        <v>697</v>
      </c>
      <c r="AU69" s="25">
        <v>2</v>
      </c>
      <c r="AV69" s="25">
        <f>ROUND(C14-(2*0.2*AI64),2)</f>
        <v>9.68</v>
      </c>
      <c r="AW69" s="40">
        <f>ROUND((AV69-AK$13)/4,3)</f>
        <v>0.54500000000000004</v>
      </c>
      <c r="AX69" s="25">
        <f>ROUND(C$30*(AV69-AK$13)/AV69,0)</f>
        <v>95</v>
      </c>
      <c r="AY69" s="28">
        <f>287*AV69/C$30</f>
        <v>6.5833175355450235</v>
      </c>
      <c r="BB69" s="39">
        <v>22</v>
      </c>
      <c r="BC69" s="44">
        <f>LOOKUP(AZ$54,BD$5:CN$5,BD69:CN69)</f>
        <v>0</v>
      </c>
      <c r="BD69" s="44"/>
      <c r="BJ69" s="43" t="str">
        <f>CONCATENATE(BB69,CP82,CQ82,CR82,CS82,CT82,CU82)</f>
        <v>22 L IX+0.625 IY-0.625 RL F53</v>
      </c>
      <c r="BN69" s="43" t="str">
        <f>CONCATENATE(BB69,CP100,CQ100,CR100,C31*5)</f>
        <v>22 CP IPA+90 IZ+0.188 DR+ F530</v>
      </c>
      <c r="BO69" s="4" t="str">
        <f>BI60</f>
        <v>G01 G40 X-0.625 Y-0.625</v>
      </c>
      <c r="BP69" s="43" t="str">
        <f>CONCATENATE(BB69,CP100,CQ100,CR100,AX69*5)</f>
        <v>22 CP IPA+90 IZ+0.188 DR+ F475</v>
      </c>
      <c r="BS69" s="43" t="str">
        <f>BG42</f>
        <v>G01 G40 X-0.625 Y-0.625</v>
      </c>
      <c r="BT69" s="43" t="str">
        <f>CONCATENATE(BB69,ES136)</f>
        <v>22 LBL 102</v>
      </c>
      <c r="BU69" s="43" t="str">
        <f>BI42</f>
        <v>G01 G40 X-0.545 Y-0.545</v>
      </c>
      <c r="BV69" s="125" t="str">
        <f>BT69</f>
        <v>22 LBL 102</v>
      </c>
      <c r="BZ69" s="125" t="str">
        <f>CONCATENATE(BB69,CP91,FF18,EX91,FH18)</f>
        <v>22 CC IX-1.25 IY+0.012</v>
      </c>
      <c r="CA69" s="43" t="str">
        <f>BW15</f>
        <v>G03 X0.625 Y0.625 Z0.188 I0. J0.625</v>
      </c>
      <c r="CB69" s="125" t="str">
        <f>CONCATENATE(BB69,CP91,GH45,EX91,GJ45)</f>
        <v>22 CC IX-1.09 IY+0.012</v>
      </c>
      <c r="CE69" s="43" t="str">
        <f>CC33</f>
        <v>G00 Z20.124</v>
      </c>
      <c r="CG69" s="43" t="str">
        <f>CF51</f>
        <v>G00 Z1.</v>
      </c>
      <c r="CH69" s="43" t="str">
        <f>CE60</f>
        <v>G03 X-0.625 C0.625 Z0.188 I-0.625 J0. F530</v>
      </c>
      <c r="CJ69" s="43" t="str">
        <f>CD42</f>
        <v>G03 X-0.625 C0.625 Z0.188 I-0.625 J0. F530</v>
      </c>
      <c r="CK69" s="43" t="str">
        <f>CE42</f>
        <v>G03 X-0.545 C0.545 Z0.188 I-0.545 J0. F475</v>
      </c>
      <c r="CM69" s="43" t="str">
        <f>CL42</f>
        <v>G00 Z20.124</v>
      </c>
      <c r="CN69" s="43" t="str">
        <f>CL15</f>
        <v>G01 G41 X0.625 C-0.625 F53</v>
      </c>
      <c r="EM69" s="46"/>
    </row>
    <row r="70" spans="6:206" ht="16" customHeight="1">
      <c r="F70" s="134"/>
      <c r="I70" s="5" t="str">
        <f t="shared" si="15"/>
        <v>z = número de labios</v>
      </c>
      <c r="J70" s="50" t="s">
        <v>1918</v>
      </c>
      <c r="K70" s="63" t="s">
        <v>1089</v>
      </c>
      <c r="L70" s="50" t="s">
        <v>676</v>
      </c>
      <c r="M70" s="50" t="s">
        <v>1220</v>
      </c>
      <c r="N70" s="50" t="s">
        <v>677</v>
      </c>
      <c r="O70" s="34" t="s">
        <v>711</v>
      </c>
      <c r="P70" s="50" t="s">
        <v>1752</v>
      </c>
      <c r="Q70" s="34" t="s">
        <v>516</v>
      </c>
      <c r="R70" s="50" t="s">
        <v>1176</v>
      </c>
      <c r="S70" s="50" t="s">
        <v>1815</v>
      </c>
      <c r="T70" s="50" t="s">
        <v>1466</v>
      </c>
      <c r="U70" s="34" t="s">
        <v>1700</v>
      </c>
      <c r="V70" s="34" t="s">
        <v>286</v>
      </c>
      <c r="W70" s="34" t="s">
        <v>1450</v>
      </c>
      <c r="X70" s="34" t="s">
        <v>748</v>
      </c>
      <c r="Y70" s="34" t="s">
        <v>12</v>
      </c>
      <c r="Z70" s="34" t="s">
        <v>816</v>
      </c>
      <c r="AA70" s="74" t="s">
        <v>1424</v>
      </c>
      <c r="AB70" s="34" t="s">
        <v>1657</v>
      </c>
      <c r="AC70" s="50" t="s">
        <v>469</v>
      </c>
      <c r="AD70" s="93" t="s">
        <v>222</v>
      </c>
      <c r="AE70" s="50" t="s">
        <v>266</v>
      </c>
      <c r="AQ70" s="28">
        <f>AQ69*0.67</f>
        <v>0.37359463376539309</v>
      </c>
      <c r="AR70" s="4" t="s">
        <v>698</v>
      </c>
      <c r="AU70" s="25">
        <v>3</v>
      </c>
      <c r="AV70" s="25">
        <f>C14</f>
        <v>10</v>
      </c>
      <c r="AW70" s="40">
        <f>ROUND((AV70-AK$13)/4,3)</f>
        <v>0.625</v>
      </c>
      <c r="AX70" s="25">
        <f>ROUND(C$30*(AV70-AK$13)/AV70,0)</f>
        <v>106</v>
      </c>
      <c r="AY70" s="28">
        <f>287*AV70/C$30</f>
        <v>6.8009478672985786</v>
      </c>
      <c r="BP70" s="43"/>
      <c r="CP70" s="45"/>
      <c r="CQ70" s="45"/>
      <c r="CR70" s="45"/>
      <c r="CS70" s="45"/>
      <c r="CT70" s="45"/>
      <c r="CU70" s="45"/>
      <c r="CV70" s="45"/>
      <c r="CW70" s="45"/>
      <c r="CX70" s="45"/>
      <c r="CY70" s="45"/>
      <c r="CZ70" s="45"/>
      <c r="DA70" s="47"/>
      <c r="DB70" s="47"/>
      <c r="DC70" s="47"/>
      <c r="DE70" s="47"/>
      <c r="DF70" s="47"/>
      <c r="DG70" s="47"/>
      <c r="DH70" s="47"/>
      <c r="DI70" s="47"/>
      <c r="DJ70" s="47"/>
      <c r="DK70" s="47"/>
      <c r="DL70" s="47"/>
      <c r="DM70" s="47"/>
      <c r="DN70" s="47"/>
      <c r="DO70" s="47"/>
      <c r="DP70" s="45"/>
      <c r="DQ70" s="45"/>
      <c r="DR70" s="45"/>
      <c r="DT70" s="45"/>
      <c r="DU70" s="45"/>
      <c r="DV70" s="45"/>
      <c r="DW70" s="45"/>
      <c r="DX70" s="45"/>
      <c r="DY70" s="45"/>
      <c r="DZ70" s="45"/>
      <c r="EA70" s="45"/>
      <c r="EB70" s="45"/>
      <c r="EC70" s="45"/>
      <c r="ED70" s="45"/>
      <c r="EE70" s="45"/>
      <c r="EF70" s="45"/>
      <c r="EG70" s="45"/>
      <c r="EI70" s="123"/>
      <c r="EJ70" s="123"/>
      <c r="EK70" s="123"/>
      <c r="EL70" s="123"/>
      <c r="EN70" s="45"/>
      <c r="EO70" s="45"/>
      <c r="EP70" s="45"/>
      <c r="EQ70" s="45"/>
      <c r="ES70" s="22"/>
      <c r="ET70" s="22"/>
      <c r="EU70" s="22"/>
      <c r="EV70" s="22"/>
      <c r="EX70" s="22"/>
      <c r="EY70" s="22"/>
      <c r="EZ70" s="22"/>
      <c r="FA70" s="22"/>
      <c r="FB70" s="22"/>
      <c r="FC70" s="22"/>
      <c r="FD70" s="22"/>
      <c r="FE70" s="22"/>
      <c r="FF70" s="22"/>
      <c r="FG70" s="22"/>
      <c r="FH70" s="22"/>
      <c r="FI70" s="22"/>
      <c r="FJ70" s="22"/>
      <c r="FL70" s="22"/>
      <c r="FM70" s="22"/>
      <c r="FN70" s="22"/>
      <c r="FO70" s="22"/>
      <c r="FP70" s="22"/>
      <c r="FQ70" s="22"/>
      <c r="FR70" s="22"/>
      <c r="FS70" s="22"/>
      <c r="FT70" s="22"/>
      <c r="FU70" s="22"/>
      <c r="FV70" s="22"/>
      <c r="FW70" s="22"/>
      <c r="FX70" s="22"/>
      <c r="FZ70" s="22"/>
      <c r="GA70" s="22"/>
      <c r="GB70" s="22"/>
      <c r="GC70" s="22"/>
      <c r="GD70" s="22"/>
      <c r="GE70" s="22"/>
      <c r="GF70" s="22"/>
      <c r="GG70" s="22"/>
      <c r="GH70" s="22"/>
      <c r="GI70" s="22"/>
      <c r="GJ70" s="22"/>
      <c r="GK70" s="22"/>
      <c r="GL70" s="22"/>
      <c r="GN70" s="22"/>
      <c r="GP70" s="22"/>
      <c r="GR70" s="22"/>
      <c r="GT70" s="22"/>
      <c r="GV70" s="22"/>
      <c r="GX70" s="22"/>
    </row>
    <row r="71" spans="6:206" ht="16" customHeight="1">
      <c r="F71" s="134"/>
      <c r="I71" s="5" t="str">
        <f t="shared" si="15"/>
        <v>V = velocidad de corte (m/min)</v>
      </c>
      <c r="J71" s="50" t="s">
        <v>1919</v>
      </c>
      <c r="K71" s="63" t="s">
        <v>1090</v>
      </c>
      <c r="L71" s="50" t="s">
        <v>691</v>
      </c>
      <c r="M71" s="50" t="s">
        <v>1221</v>
      </c>
      <c r="N71" s="50" t="s">
        <v>770</v>
      </c>
      <c r="O71" s="34" t="s">
        <v>875</v>
      </c>
      <c r="P71" s="50" t="s">
        <v>1753</v>
      </c>
      <c r="Q71" s="34" t="s">
        <v>424</v>
      </c>
      <c r="R71" s="50" t="s">
        <v>1254</v>
      </c>
      <c r="S71" s="50" t="s">
        <v>1816</v>
      </c>
      <c r="T71" s="50" t="s">
        <v>1467</v>
      </c>
      <c r="U71" s="34" t="s">
        <v>1701</v>
      </c>
      <c r="V71" s="34" t="s">
        <v>287</v>
      </c>
      <c r="W71" s="34" t="s">
        <v>1451</v>
      </c>
      <c r="X71" s="34" t="s">
        <v>638</v>
      </c>
      <c r="Y71" s="34" t="s">
        <v>13</v>
      </c>
      <c r="Z71" s="34" t="s">
        <v>876</v>
      </c>
      <c r="AA71" s="74" t="s">
        <v>1425</v>
      </c>
      <c r="AB71" s="34" t="s">
        <v>1658</v>
      </c>
      <c r="AC71" s="50" t="s">
        <v>470</v>
      </c>
      <c r="AD71" s="93" t="s">
        <v>1867</v>
      </c>
      <c r="AE71" s="50" t="s">
        <v>226</v>
      </c>
      <c r="AQ71" s="28">
        <f>IF(AR10=5,AQ70,IF(AR10=6,AQ70,IF(AR10=7,AQ70,AQ69)))</f>
        <v>0.557603930993124</v>
      </c>
      <c r="AU71" s="25"/>
      <c r="AW71" s="25"/>
      <c r="AX71" s="25"/>
      <c r="AY71" s="28">
        <f>ROUND(AY68+AY69+AY70,2)</f>
        <v>19.63</v>
      </c>
      <c r="BP71" s="43"/>
      <c r="CO71" s="47"/>
      <c r="CP71" s="25"/>
      <c r="CQ71" s="25"/>
      <c r="CR71" s="25"/>
      <c r="CS71" s="25"/>
      <c r="CT71" s="25"/>
      <c r="CU71" s="25"/>
      <c r="DS71" s="47"/>
      <c r="DT71" s="25"/>
      <c r="DU71" s="25"/>
      <c r="DV71" s="25"/>
      <c r="DW71" s="25"/>
      <c r="DX71" s="25"/>
      <c r="DY71" s="25"/>
    </row>
    <row r="72" spans="6:206" ht="16" customHeight="1">
      <c r="F72" s="134"/>
      <c r="I72" s="5" t="str">
        <f t="shared" si="15"/>
        <v>Fz = avance/labio (mm/labio)</v>
      </c>
      <c r="J72" s="50" t="s">
        <v>1920</v>
      </c>
      <c r="K72" s="63" t="s">
        <v>1091</v>
      </c>
      <c r="L72" s="50" t="s">
        <v>766</v>
      </c>
      <c r="M72" s="50" t="s">
        <v>1243</v>
      </c>
      <c r="N72" s="50" t="s">
        <v>978</v>
      </c>
      <c r="O72" s="50" t="s">
        <v>991</v>
      </c>
      <c r="P72" s="50" t="s">
        <v>1754</v>
      </c>
      <c r="Q72" s="34" t="s">
        <v>425</v>
      </c>
      <c r="R72" s="50" t="s">
        <v>1255</v>
      </c>
      <c r="S72" s="50" t="s">
        <v>1817</v>
      </c>
      <c r="T72" s="50" t="s">
        <v>1468</v>
      </c>
      <c r="U72" s="34" t="s">
        <v>1623</v>
      </c>
      <c r="V72" s="34" t="s">
        <v>288</v>
      </c>
      <c r="W72" s="34" t="s">
        <v>1524</v>
      </c>
      <c r="X72" s="34" t="s">
        <v>643</v>
      </c>
      <c r="Y72" s="34" t="s">
        <v>14</v>
      </c>
      <c r="Z72" s="34" t="s">
        <v>877</v>
      </c>
      <c r="AA72" s="74" t="s">
        <v>1426</v>
      </c>
      <c r="AB72" s="34" t="s">
        <v>1659</v>
      </c>
      <c r="AC72" s="50" t="s">
        <v>471</v>
      </c>
      <c r="AD72" s="93" t="s">
        <v>98</v>
      </c>
      <c r="AE72" s="50" t="s">
        <v>227</v>
      </c>
      <c r="AV72"/>
      <c r="BB72" s="39">
        <v>23</v>
      </c>
      <c r="BC72" s="44">
        <f>LOOKUP(AZ$54,BD$5:CN$5,BD72:CN72)</f>
        <v>0</v>
      </c>
      <c r="BD72" s="44"/>
      <c r="BJ72" s="43" t="str">
        <f>CONCATENATE(BB72,CP85,CQ85)</f>
        <v>23 CC IX+0 IY+0.625</v>
      </c>
      <c r="BN72" s="43" t="str">
        <f>CONCATENATE(BB72,CP103,CQ103,CR103,CS103,CT103)</f>
        <v>23 L IX-0.625 IY-0.625 R0</v>
      </c>
      <c r="BO72" s="4" t="str">
        <f>BK36</f>
        <v>G00 Z19.125</v>
      </c>
      <c r="BP72" s="43" t="str">
        <f>CONCATENATE(BB72,DT130,DU130,DV130,DW130,DX130)</f>
        <v>23 L IX-0.545 IY-0.545 R0</v>
      </c>
      <c r="BS72" s="43" t="str">
        <f>BQ42</f>
        <v>G00 Z0.624</v>
      </c>
      <c r="BT72" s="43" t="str">
        <f>CONCATENATE(BB72,CP91,CQ91,CR91)</f>
        <v>23 CC IX-1.25 IY+0</v>
      </c>
      <c r="BU72" s="43" t="str">
        <f>BU42</f>
        <v>G00 Z-21.376</v>
      </c>
      <c r="BV72" s="125" t="str">
        <f>CONCATENATE(BB72,DT118,DU118,DV118)</f>
        <v>23 CC IX-1.09 IY+0</v>
      </c>
      <c r="BZ72" s="125" t="str">
        <f>CONCATENATE(BB72,CP100,FD18,CR100,C31)</f>
        <v>23 CP IPA+90 IZ+0.375 DR+ F106</v>
      </c>
      <c r="CA72" s="43" t="str">
        <f>BW18</f>
        <v>G03 X-1.25 Y1.262 Z0.375 I-1.25 J0.012 F106</v>
      </c>
      <c r="CB72" s="125" t="str">
        <f>CONCATENATE(BB72,CP100,FD18,CR100,AX69)</f>
        <v>23 CP IPA+90 IZ+0.375 DR+ F95</v>
      </c>
      <c r="CH72" s="43" t="str">
        <f>CE63</f>
        <v>G01 G40 X-0.625 C-0.625</v>
      </c>
      <c r="CJ72" s="43" t="str">
        <f>CD45</f>
        <v>G01 G40 X-0.625 C-0.625</v>
      </c>
      <c r="CK72" s="43" t="str">
        <f>CE45</f>
        <v>G01 G40 X-0.545 C-0.545</v>
      </c>
      <c r="CN72" s="43" t="str">
        <f>CL18</f>
        <v>G03 X0.625 C0.625 Z0.188 I0. J0.625</v>
      </c>
      <c r="CO72" s="48"/>
      <c r="CP72" s="41" t="s">
        <v>1585</v>
      </c>
      <c r="CQ72" s="18"/>
      <c r="CR72" s="18"/>
      <c r="CS72" s="18"/>
      <c r="CT72" s="18"/>
      <c r="CU72" s="18"/>
      <c r="DD72" s="48"/>
      <c r="DE72" s="41" t="s">
        <v>1584</v>
      </c>
      <c r="DF72" s="18"/>
      <c r="DG72" s="18"/>
      <c r="DH72" s="18"/>
      <c r="DI72" s="18"/>
      <c r="DJ72" s="18"/>
      <c r="DS72" s="48"/>
      <c r="DT72" s="41" t="s">
        <v>1583</v>
      </c>
      <c r="DU72" s="18"/>
      <c r="DV72" s="18"/>
      <c r="DW72" s="18"/>
      <c r="DX72" s="18"/>
      <c r="DY72" s="18"/>
      <c r="EI72" s="117" t="s">
        <v>1582</v>
      </c>
      <c r="EN72" s="41" t="s">
        <v>20</v>
      </c>
      <c r="ES72" s="41" t="s">
        <v>22</v>
      </c>
      <c r="EX72" s="41" t="s">
        <v>1642</v>
      </c>
    </row>
    <row r="73" spans="6:206" ht="16" customHeight="1">
      <c r="F73" s="134"/>
      <c r="I73" s="5" t="str">
        <f t="shared" si="15"/>
        <v>Número de pasadas, radial (max 3)</v>
      </c>
      <c r="J73" s="50" t="s">
        <v>1921</v>
      </c>
      <c r="K73" s="63" t="s">
        <v>1092</v>
      </c>
      <c r="L73" s="34" t="s">
        <v>1051</v>
      </c>
      <c r="M73" s="50" t="s">
        <v>1244</v>
      </c>
      <c r="N73" s="50" t="s">
        <v>580</v>
      </c>
      <c r="O73" s="34" t="s">
        <v>871</v>
      </c>
      <c r="P73" s="50" t="s">
        <v>1755</v>
      </c>
      <c r="Q73" s="34" t="s">
        <v>426</v>
      </c>
      <c r="R73" s="50" t="s">
        <v>1138</v>
      </c>
      <c r="S73" s="50" t="s">
        <v>1818</v>
      </c>
      <c r="T73" s="50" t="s">
        <v>1469</v>
      </c>
      <c r="U73" s="34" t="s">
        <v>1624</v>
      </c>
      <c r="V73" s="34" t="s">
        <v>309</v>
      </c>
      <c r="W73" s="34" t="s">
        <v>1365</v>
      </c>
      <c r="X73" s="34" t="s">
        <v>644</v>
      </c>
      <c r="Y73" s="34" t="s">
        <v>15</v>
      </c>
      <c r="Z73" s="34" t="s">
        <v>865</v>
      </c>
      <c r="AA73" s="74" t="s">
        <v>1429</v>
      </c>
      <c r="AB73" s="88" t="s">
        <v>1454</v>
      </c>
      <c r="AC73" s="78" t="s">
        <v>472</v>
      </c>
      <c r="AD73" s="92" t="s">
        <v>99</v>
      </c>
      <c r="AE73" s="84" t="s">
        <v>228</v>
      </c>
      <c r="AV73"/>
      <c r="BB73" s="39"/>
      <c r="BP73" s="43"/>
      <c r="CO73" s="48">
        <v>1</v>
      </c>
      <c r="CP73" s="25" t="s">
        <v>1530</v>
      </c>
      <c r="CQ73" s="6">
        <f>C29</f>
        <v>6706</v>
      </c>
      <c r="CR73" s="6"/>
      <c r="CS73" s="18"/>
      <c r="CT73" s="18"/>
      <c r="CU73" s="18"/>
      <c r="DD73" s="48"/>
      <c r="DF73" s="6"/>
      <c r="DG73" s="6"/>
      <c r="DH73" s="18"/>
      <c r="DI73" s="18"/>
      <c r="DJ73" s="18"/>
      <c r="DS73" s="48"/>
      <c r="DT73" s="25"/>
      <c r="DU73" s="6"/>
      <c r="DV73" s="6"/>
      <c r="DW73" s="18"/>
      <c r="DX73" s="18"/>
      <c r="DY73" s="18"/>
    </row>
    <row r="74" spans="6:206" ht="16" customHeight="1">
      <c r="F74" s="134"/>
      <c r="I74" s="5" t="str">
        <f t="shared" si="15"/>
        <v>Número de pasadas, axial</v>
      </c>
      <c r="J74" s="50" t="s">
        <v>1922</v>
      </c>
      <c r="K74" s="63" t="s">
        <v>1093</v>
      </c>
      <c r="L74" s="34" t="s">
        <v>1056</v>
      </c>
      <c r="M74" s="50" t="s">
        <v>1146</v>
      </c>
      <c r="N74" s="50" t="s">
        <v>581</v>
      </c>
      <c r="O74" s="34" t="s">
        <v>872</v>
      </c>
      <c r="P74" s="50" t="s">
        <v>1756</v>
      </c>
      <c r="Q74" s="34" t="s">
        <v>427</v>
      </c>
      <c r="R74" s="50" t="s">
        <v>1139</v>
      </c>
      <c r="S74" s="50" t="s">
        <v>1819</v>
      </c>
      <c r="T74" s="50" t="s">
        <v>1470</v>
      </c>
      <c r="U74" s="34" t="s">
        <v>1625</v>
      </c>
      <c r="V74" s="34" t="s">
        <v>310</v>
      </c>
      <c r="W74" s="34" t="s">
        <v>1366</v>
      </c>
      <c r="X74" s="34" t="s">
        <v>645</v>
      </c>
      <c r="Y74" s="34" t="s">
        <v>84</v>
      </c>
      <c r="Z74" s="34" t="s">
        <v>878</v>
      </c>
      <c r="AA74" s="74" t="s">
        <v>1430</v>
      </c>
      <c r="AB74" s="88" t="s">
        <v>1660</v>
      </c>
      <c r="AC74" s="78" t="s">
        <v>454</v>
      </c>
      <c r="AD74" s="92" t="s">
        <v>100</v>
      </c>
      <c r="AE74" s="84" t="s">
        <v>229</v>
      </c>
      <c r="AV74"/>
      <c r="BP74" s="43"/>
      <c r="CO74" s="48"/>
      <c r="CP74" s="18"/>
      <c r="CQ74" s="18"/>
      <c r="CR74" s="18"/>
      <c r="CS74" s="18"/>
      <c r="CT74" s="18"/>
      <c r="CU74" s="18"/>
      <c r="DD74" s="48"/>
      <c r="DE74" s="18"/>
      <c r="DF74" s="18"/>
      <c r="DG74" s="18"/>
      <c r="DH74" s="18"/>
      <c r="DI74" s="18"/>
      <c r="DJ74" s="18"/>
      <c r="DS74" s="48"/>
      <c r="DT74" s="18"/>
      <c r="DU74" s="18"/>
      <c r="DV74" s="18"/>
      <c r="DW74" s="18"/>
      <c r="DX74" s="18"/>
      <c r="DY74" s="18"/>
    </row>
    <row r="75" spans="6:206" ht="16" customHeight="1">
      <c r="F75" s="134"/>
      <c r="I75" s="5" t="str">
        <f t="shared" si="15"/>
        <v>N = velocidad de giro (v/min)</v>
      </c>
      <c r="J75" s="50" t="s">
        <v>1923</v>
      </c>
      <c r="K75" s="63" t="s">
        <v>1038</v>
      </c>
      <c r="L75" s="50" t="s">
        <v>818</v>
      </c>
      <c r="M75" s="50" t="s">
        <v>1147</v>
      </c>
      <c r="N75" s="50" t="s">
        <v>930</v>
      </c>
      <c r="O75" s="34" t="s">
        <v>992</v>
      </c>
      <c r="P75" s="50" t="s">
        <v>1757</v>
      </c>
      <c r="Q75" s="34" t="s">
        <v>428</v>
      </c>
      <c r="R75" s="50" t="s">
        <v>1140</v>
      </c>
      <c r="S75" s="50" t="s">
        <v>1820</v>
      </c>
      <c r="T75" s="50" t="s">
        <v>1283</v>
      </c>
      <c r="U75" s="34" t="s">
        <v>1626</v>
      </c>
      <c r="V75" s="34" t="s">
        <v>311</v>
      </c>
      <c r="W75" s="34" t="s">
        <v>1367</v>
      </c>
      <c r="X75" s="34" t="s">
        <v>646</v>
      </c>
      <c r="Y75" s="34" t="s">
        <v>16</v>
      </c>
      <c r="Z75" s="34" t="s">
        <v>879</v>
      </c>
      <c r="AA75" s="74" t="s">
        <v>1431</v>
      </c>
      <c r="AB75" s="34" t="s">
        <v>1661</v>
      </c>
      <c r="AC75" s="50" t="s">
        <v>455</v>
      </c>
      <c r="AD75" s="93" t="s">
        <v>177</v>
      </c>
      <c r="AE75" s="50" t="s">
        <v>230</v>
      </c>
      <c r="AP75" s="7" t="s">
        <v>889</v>
      </c>
      <c r="AQ75" s="27">
        <f>IF(D23&gt;0,D23,C23)</f>
        <v>21.75</v>
      </c>
      <c r="AV75"/>
      <c r="BB75" s="39">
        <v>24</v>
      </c>
      <c r="BC75" s="44">
        <f>LOOKUP(AZ$54,BD$5:CN$5,BD75:CN75)</f>
        <v>0</v>
      </c>
      <c r="BD75" s="44"/>
      <c r="BJ75" s="43" t="str">
        <f>CONCATENATE(BB75,CP88,CQ88,CR88)</f>
        <v>24 CP IPA+90 IZ+0.188 DR+</v>
      </c>
      <c r="BN75" s="43" t="str">
        <f>CONCATENATE(BB75,CP106,EJ115,CR106)</f>
        <v>24 L IZ+19.125 FMAX</v>
      </c>
      <c r="BO75" s="4" t="str">
        <f>BK39</f>
        <v>#2=#2+1</v>
      </c>
      <c r="BP75" s="43" t="str">
        <f>CONCATENATE(BB75,DT133,DU133,DV133)</f>
        <v>24 L IZ-1.876 FMAX</v>
      </c>
      <c r="BT75" s="43" t="str">
        <f>CONCATENATE(BB75,CP94,CQ94,CR94,C31)</f>
        <v>24 CP IPA+360 IZ+1.5 DR+ F106</v>
      </c>
      <c r="BU75" s="43" t="str">
        <f>BI48</f>
        <v>G01 G41 X0.625 Y-0.625 F53</v>
      </c>
      <c r="BV75" s="125" t="str">
        <f>CONCATENATE(BB75,CP94,CQ94,CR94,AX69)</f>
        <v>24 CP IPA+360 IZ+1.5 DR+ F95</v>
      </c>
      <c r="BZ75" s="125" t="str">
        <f>CONCATENATE(BB75,CP91,FF21,CR82,FH21)</f>
        <v>24 CC IX-0.012 IY-1.262</v>
      </c>
      <c r="CA75" s="43" t="str">
        <f>BW21</f>
        <v>G03 X-1.274 Y-1.262 Z0.375 I-0.012 J-1.262</v>
      </c>
      <c r="CB75" s="125" t="str">
        <f>CONCATENATE(BB75,CP91,GH48,CR82,GJ48)</f>
        <v>24 CC IX-0.012 IY-1.102</v>
      </c>
      <c r="CH75" s="43" t="str">
        <f>CF39</f>
        <v>G00 Z19.125</v>
      </c>
      <c r="CJ75" s="43" t="str">
        <f>CI45</f>
        <v>G13.1</v>
      </c>
      <c r="CK75" s="43" t="str">
        <f>CK45</f>
        <v>G00 Z-21.376</v>
      </c>
      <c r="CN75" s="43" t="str">
        <f>CL21</f>
        <v>G03 X-1.25 C1.262 Z0.375 I-1.25 J0.012 F106</v>
      </c>
      <c r="CO75" s="47"/>
      <c r="CP75" s="25"/>
      <c r="CQ75" s="25"/>
      <c r="CR75" s="25"/>
      <c r="CS75" s="25"/>
      <c r="CT75" s="25"/>
      <c r="CU75" s="25"/>
      <c r="DS75" s="47"/>
      <c r="DT75" s="25"/>
      <c r="DU75" s="25"/>
      <c r="DV75" s="25"/>
      <c r="DW75" s="25"/>
      <c r="DX75" s="25"/>
      <c r="DY75" s="25"/>
    </row>
    <row r="76" spans="6:206" ht="16" customHeight="1">
      <c r="F76" s="134"/>
      <c r="I76" s="5" t="str">
        <f t="shared" si="15"/>
        <v>FD = avance en Ø de la rosca (mm/min)</v>
      </c>
      <c r="J76" s="50" t="s">
        <v>1924</v>
      </c>
      <c r="K76" s="63" t="s">
        <v>1039</v>
      </c>
      <c r="L76" s="50" t="s">
        <v>763</v>
      </c>
      <c r="M76" s="50" t="s">
        <v>1148</v>
      </c>
      <c r="N76" s="50" t="s">
        <v>947</v>
      </c>
      <c r="O76" s="34" t="s">
        <v>700</v>
      </c>
      <c r="P76" s="50" t="s">
        <v>1758</v>
      </c>
      <c r="Q76" s="34" t="s">
        <v>429</v>
      </c>
      <c r="R76" s="50" t="s">
        <v>1200</v>
      </c>
      <c r="S76" s="50" t="s">
        <v>1821</v>
      </c>
      <c r="T76" s="50" t="s">
        <v>1284</v>
      </c>
      <c r="U76" s="34" t="s">
        <v>1627</v>
      </c>
      <c r="V76" s="34" t="s">
        <v>312</v>
      </c>
      <c r="W76" s="34" t="s">
        <v>1438</v>
      </c>
      <c r="X76" s="34" t="s">
        <v>647</v>
      </c>
      <c r="Y76" s="34" t="s">
        <v>17</v>
      </c>
      <c r="Z76" s="34" t="s">
        <v>775</v>
      </c>
      <c r="AA76" s="74" t="s">
        <v>1432</v>
      </c>
      <c r="AB76" s="34" t="s">
        <v>1662</v>
      </c>
      <c r="AC76" s="50" t="s">
        <v>456</v>
      </c>
      <c r="AD76" s="93" t="s">
        <v>178</v>
      </c>
      <c r="AE76" s="50" t="s">
        <v>231</v>
      </c>
      <c r="AP76" s="7" t="s">
        <v>658</v>
      </c>
      <c r="AQ76" s="28">
        <f>AQ75/C16+AK71</f>
        <v>1.0874999999999999</v>
      </c>
      <c r="AV76"/>
      <c r="BP76" s="43"/>
      <c r="CO76" s="48">
        <v>2</v>
      </c>
      <c r="CP76" s="25" t="s">
        <v>1531</v>
      </c>
      <c r="CQ76" s="25"/>
      <c r="CR76" s="25"/>
      <c r="CS76" s="25"/>
      <c r="CT76" s="25"/>
      <c r="CU76" s="25"/>
      <c r="DD76" s="48"/>
      <c r="DS76" s="48"/>
      <c r="DT76" s="25"/>
      <c r="DU76" s="25"/>
      <c r="DV76" s="25"/>
      <c r="DW76" s="25"/>
      <c r="DX76" s="25"/>
      <c r="DY76" s="25"/>
    </row>
    <row r="77" spans="6:206" ht="16" customHeight="1">
      <c r="F77" s="134"/>
      <c r="I77" s="5" t="str">
        <f t="shared" si="15"/>
        <v>Fd = avance centro fresa (mm/min)</v>
      </c>
      <c r="J77" s="50" t="s">
        <v>1925</v>
      </c>
      <c r="K77" s="63" t="s">
        <v>1040</v>
      </c>
      <c r="L77" s="50" t="s">
        <v>1130</v>
      </c>
      <c r="M77" s="50" t="s">
        <v>1149</v>
      </c>
      <c r="N77" s="50" t="s">
        <v>976</v>
      </c>
      <c r="O77" s="34" t="s">
        <v>815</v>
      </c>
      <c r="P77" s="50" t="s">
        <v>1759</v>
      </c>
      <c r="Q77" s="34" t="s">
        <v>440</v>
      </c>
      <c r="R77" s="50" t="s">
        <v>1078</v>
      </c>
      <c r="S77" s="50" t="s">
        <v>1822</v>
      </c>
      <c r="T77" s="50" t="s">
        <v>1285</v>
      </c>
      <c r="U77" s="34" t="s">
        <v>1628</v>
      </c>
      <c r="V77" s="34" t="s">
        <v>313</v>
      </c>
      <c r="W77" s="34" t="s">
        <v>1439</v>
      </c>
      <c r="X77" s="34" t="s">
        <v>648</v>
      </c>
      <c r="Y77" s="34" t="s">
        <v>18</v>
      </c>
      <c r="Z77" s="34" t="s">
        <v>913</v>
      </c>
      <c r="AA77" s="74" t="s">
        <v>1433</v>
      </c>
      <c r="AB77" s="34" t="s">
        <v>1509</v>
      </c>
      <c r="AC77" s="50" t="s">
        <v>359</v>
      </c>
      <c r="AD77" s="93" t="s">
        <v>179</v>
      </c>
      <c r="AE77" s="50" t="s">
        <v>232</v>
      </c>
      <c r="AP77" s="7" t="s">
        <v>868</v>
      </c>
      <c r="AQ77" s="28">
        <f>LOOKUP(AQ76,AP80:AP112,AQ80:AQ112)</f>
        <v>1</v>
      </c>
      <c r="AV77"/>
      <c r="BP77" s="43"/>
      <c r="CO77" s="48"/>
      <c r="CP77" s="25"/>
      <c r="CQ77" s="18"/>
      <c r="CR77" s="25"/>
      <c r="CS77" s="25"/>
      <c r="CT77" s="25"/>
      <c r="CU77" s="25"/>
      <c r="DD77" s="48"/>
      <c r="DF77" s="18"/>
      <c r="DS77" s="48"/>
      <c r="DT77" s="25"/>
      <c r="DU77" s="18"/>
      <c r="DV77" s="25"/>
      <c r="DW77" s="25"/>
      <c r="DX77" s="25"/>
      <c r="DY77" s="25"/>
    </row>
    <row r="78" spans="6:206" ht="16" customHeight="1">
      <c r="F78" s="134"/>
      <c r="I78" s="5" t="str">
        <f t="shared" ref="I78:I93" si="24">LOOKUP(H$27,J$2:AE$2,J78:AE78)</f>
        <v>T = segundos para fresar la rosca</v>
      </c>
      <c r="J78" s="50" t="s">
        <v>1926</v>
      </c>
      <c r="K78" s="63" t="s">
        <v>1041</v>
      </c>
      <c r="L78" s="50" t="s">
        <v>1131</v>
      </c>
      <c r="M78" s="50" t="s">
        <v>1154</v>
      </c>
      <c r="N78" s="50" t="s">
        <v>977</v>
      </c>
      <c r="O78" s="34" t="s">
        <v>789</v>
      </c>
      <c r="P78" s="50" t="s">
        <v>1760</v>
      </c>
      <c r="Q78" s="34" t="s">
        <v>382</v>
      </c>
      <c r="R78" s="50" t="s">
        <v>1079</v>
      </c>
      <c r="S78" s="50" t="s">
        <v>1823</v>
      </c>
      <c r="T78" s="50" t="s">
        <v>1286</v>
      </c>
      <c r="U78" s="34" t="s">
        <v>1525</v>
      </c>
      <c r="V78" s="34" t="s">
        <v>314</v>
      </c>
      <c r="W78" s="34" t="s">
        <v>1368</v>
      </c>
      <c r="X78" s="34" t="s">
        <v>518</v>
      </c>
      <c r="Y78" s="34" t="s">
        <v>19</v>
      </c>
      <c r="Z78" s="34" t="s">
        <v>948</v>
      </c>
      <c r="AA78" s="74" t="s">
        <v>1459</v>
      </c>
      <c r="AB78" s="34" t="s">
        <v>1510</v>
      </c>
      <c r="AC78" s="50" t="s">
        <v>473</v>
      </c>
      <c r="AD78" s="93" t="s">
        <v>180</v>
      </c>
      <c r="AE78" s="50" t="s">
        <v>233</v>
      </c>
      <c r="AP78" s="7" t="s">
        <v>907</v>
      </c>
      <c r="AQ78" s="30">
        <f>AQ71*AQ77</f>
        <v>0.557603930993124</v>
      </c>
      <c r="BB78" s="39">
        <v>25</v>
      </c>
      <c r="BC78" s="44">
        <f>LOOKUP(AZ$54,BD$5:CN$5,BD78:CN78)</f>
        <v>0</v>
      </c>
      <c r="BD78" s="44"/>
      <c r="BJ78" s="43" t="str">
        <f>CONCATENATE(BB78,CP91,CQ91,CR91)</f>
        <v>25 CC IX-1.25 IY+0</v>
      </c>
      <c r="BN78" s="43" t="str">
        <f>CONCATENATE(BB78,EI118)</f>
        <v>25 FN 1: Q2 =+Q2 + +1</v>
      </c>
      <c r="BO78" s="4" t="str">
        <f>BK42</f>
        <v>END1</v>
      </c>
      <c r="BP78" s="43" t="str">
        <f>CONCATENATE(BB78,CP82,CQ82,CR82,CS82,CT82,CU82)</f>
        <v>25 L IX+0.625 IY-0.625 RL F53</v>
      </c>
      <c r="BT78" s="43" t="str">
        <f>CONCATENATE(BB78,EI118)</f>
        <v>25 FN 1: Q2 =+Q2 + +1</v>
      </c>
      <c r="BU78" s="43" t="str">
        <f>BI51</f>
        <v>G03 X0.625 Y0.625 Z0.188 I0. J0.625</v>
      </c>
      <c r="BV78" s="125" t="str">
        <f>BT78</f>
        <v>25 FN 1: Q2 =+Q2 + +1</v>
      </c>
      <c r="BZ78" s="125" t="str">
        <f>CONCATENATE(BB78,CP88,FD21,CR88)</f>
        <v>25 CP IPA+90 IZ+0.375 DR+</v>
      </c>
      <c r="CA78" s="43" t="str">
        <f>BW24</f>
        <v>G03 X1.274 Y-1.286 Z0.375 I1.274 J-0.012</v>
      </c>
      <c r="CB78" s="125" t="str">
        <f>BZ78</f>
        <v>25 CP IPA+90 IZ+0.375 DR+</v>
      </c>
      <c r="CH78" s="43" t="str">
        <f>CF42</f>
        <v>#2=#2+1</v>
      </c>
      <c r="CJ78" s="43" t="str">
        <f>CI48</f>
        <v>G00 Z0.624</v>
      </c>
      <c r="CK78" s="43" t="str">
        <f>CE51</f>
        <v>G01 G41 X0.625 C-0.625 F53</v>
      </c>
      <c r="CN78" s="43" t="str">
        <f>CL24</f>
        <v>G03 X-1.274 C-1.262 Z0.375 I-0.012 J-1.262</v>
      </c>
      <c r="CO78" s="47"/>
      <c r="CP78" s="25"/>
      <c r="CQ78" s="18">
        <f>-(C16+C17)</f>
        <v>-22</v>
      </c>
      <c r="CR78" s="25"/>
      <c r="CS78" s="25"/>
      <c r="CT78" s="25"/>
      <c r="CU78" s="25"/>
      <c r="DF78" s="18"/>
      <c r="DS78" s="47"/>
      <c r="DT78" s="25"/>
      <c r="DU78" s="18"/>
      <c r="DV78" s="25"/>
      <c r="DW78" s="25"/>
      <c r="DX78" s="25"/>
      <c r="DY78" s="25"/>
    </row>
    <row r="79" spans="6:206" ht="16" customHeight="1">
      <c r="F79" s="134"/>
      <c r="I79" s="5"/>
      <c r="J79" s="34"/>
      <c r="K79" s="63"/>
      <c r="AA79" s="74"/>
      <c r="AD79" s="93"/>
      <c r="BB79" s="39"/>
      <c r="BP79" s="43"/>
      <c r="CO79" s="48">
        <v>3</v>
      </c>
      <c r="CP79" s="18" t="s">
        <v>1532</v>
      </c>
      <c r="CQ79" s="18" t="str">
        <f>SUBSTITUTE(CQ78,",",".")</f>
        <v>-22</v>
      </c>
      <c r="CR79" s="18" t="s">
        <v>854</v>
      </c>
      <c r="CS79" s="25"/>
      <c r="CT79" s="18"/>
      <c r="CU79" s="18"/>
      <c r="CV79" s="18"/>
      <c r="CW79" s="18"/>
      <c r="CX79" s="18"/>
      <c r="CY79" s="18"/>
      <c r="CZ79" s="18"/>
      <c r="DD79" s="48"/>
      <c r="DE79" s="18"/>
      <c r="DF79" s="18"/>
      <c r="DG79" s="18"/>
      <c r="DI79" s="18"/>
      <c r="DJ79" s="18"/>
      <c r="DS79" s="48"/>
      <c r="DT79" s="18"/>
      <c r="DU79" s="18"/>
      <c r="DV79" s="18"/>
      <c r="DW79" s="25"/>
      <c r="DX79" s="18"/>
      <c r="DY79" s="18"/>
    </row>
    <row r="80" spans="6:206" ht="16" customHeight="1">
      <c r="F80" s="134"/>
      <c r="I80" s="5"/>
      <c r="J80" s="34"/>
      <c r="K80" s="63"/>
      <c r="AA80" s="74"/>
      <c r="AD80" s="93"/>
      <c r="AP80" s="28">
        <v>0.03</v>
      </c>
      <c r="AQ80" s="28">
        <v>0.5</v>
      </c>
      <c r="BP80" s="43"/>
      <c r="CO80" s="48"/>
      <c r="CP80" s="18"/>
      <c r="CQ80" s="18"/>
      <c r="CR80" s="18"/>
      <c r="CS80" s="18"/>
      <c r="CT80" s="18"/>
      <c r="CU80" s="18"/>
      <c r="CV80" s="18"/>
      <c r="CW80" s="18"/>
      <c r="CX80" s="18"/>
      <c r="CY80" s="18"/>
      <c r="CZ80" s="18"/>
      <c r="DD80" s="48"/>
      <c r="DE80" s="18"/>
      <c r="DF80" s="18"/>
      <c r="DG80" s="18"/>
      <c r="DH80" s="18"/>
      <c r="DI80" s="18"/>
      <c r="DJ80" s="18"/>
      <c r="DS80" s="48"/>
      <c r="DT80" s="18"/>
      <c r="DU80" s="18"/>
      <c r="DV80" s="18"/>
      <c r="DW80" s="18"/>
      <c r="DX80" s="18"/>
      <c r="DY80" s="18"/>
    </row>
    <row r="81" spans="6:154" ht="16" customHeight="1">
      <c r="F81" s="134"/>
      <c r="I81" s="5"/>
      <c r="J81" s="34"/>
      <c r="K81" s="63"/>
      <c r="AA81" s="74"/>
      <c r="AD81" s="93"/>
      <c r="AP81" s="28">
        <v>0.25</v>
      </c>
      <c r="AQ81" s="28">
        <f t="shared" ref="AQ81:AQ95" si="25">AQ82*0.97</f>
        <v>0.63325118913678924</v>
      </c>
      <c r="BB81" s="39">
        <v>26</v>
      </c>
      <c r="BC81" s="44">
        <f>LOOKUP(AZ$54,BD$5:CN$5,BD81:CN81)</f>
        <v>0</v>
      </c>
      <c r="BD81" s="44"/>
      <c r="BJ81" s="43" t="str">
        <f>CONCATENATE(BB81,CP94,CQ94,CR94,CS94)</f>
        <v>26 CP IPA+360 IZ+1.5 DR+ F106</v>
      </c>
      <c r="BN81" s="43" t="str">
        <f>CONCATENATE(BB81,EI121)</f>
        <v>26 FN 12: IF +Q2 LT +Q1 GOTO LBL 101</v>
      </c>
      <c r="BO81" s="4" t="str">
        <f>BK45</f>
        <v>G00 Z1.</v>
      </c>
      <c r="BP81" s="43" t="str">
        <f>CONCATENATE(BB81,CP85,CQ85)</f>
        <v>26 CC IX+0 IY+0.625</v>
      </c>
      <c r="BT81" s="43" t="str">
        <f>CONCATENATE(BB81,ES148)</f>
        <v>26 FN 12: IF +Q2 LT +Q1 GOTO LBL 102</v>
      </c>
      <c r="BU81" s="43" t="str">
        <f>BU51</f>
        <v>#2=0</v>
      </c>
      <c r="BV81" s="125" t="str">
        <f>BT81</f>
        <v>26 FN 12: IF +Q2 LT +Q1 GOTO LBL 102</v>
      </c>
      <c r="BZ81" s="125" t="str">
        <f>CONCATENATE(BB81,EX103,FF24,CR82,FH24)</f>
        <v>26 CC IX+1.274 IY-0.012</v>
      </c>
      <c r="CA81" s="43" t="str">
        <f>BW27</f>
        <v>G03 X1.298 Y1.286 Z0.375 I0.012 J1.286</v>
      </c>
      <c r="CB81" s="125" t="str">
        <f>CONCATENATE(BB81,EX103,GH51,CR82,GJ51)</f>
        <v>26 CC IX+1.114 IY-0.012</v>
      </c>
      <c r="CH81" s="43" t="str">
        <f>CF45</f>
        <v>END1</v>
      </c>
      <c r="CK81" s="43" t="str">
        <f>CE54</f>
        <v>G03 X0.625 C0.625 Z0.188 I0. J0.625</v>
      </c>
      <c r="CN81" s="43" t="str">
        <f>CL27</f>
        <v>G03 X1.274 C-1.286 Z0.375 I1.274 J-0.012</v>
      </c>
      <c r="CO81" s="47"/>
      <c r="CP81" s="25"/>
      <c r="CQ81" s="18">
        <f>AV57</f>
        <v>0.625</v>
      </c>
      <c r="CR81" s="25"/>
      <c r="CS81" s="18">
        <f>-AV57</f>
        <v>-0.625</v>
      </c>
      <c r="CT81" s="25"/>
      <c r="CU81" s="25"/>
      <c r="CV81" s="18"/>
      <c r="CW81" s="18"/>
      <c r="CX81" s="18"/>
      <c r="CY81" s="18"/>
      <c r="CZ81" s="18"/>
      <c r="DF81" s="18"/>
      <c r="DH81" s="18"/>
      <c r="DS81" s="47"/>
      <c r="DT81" s="25"/>
      <c r="DU81" s="18"/>
      <c r="DV81" s="25"/>
      <c r="DW81" s="18"/>
      <c r="DX81" s="25"/>
      <c r="DY81" s="25"/>
    </row>
    <row r="82" spans="6:154" ht="16" customHeight="1">
      <c r="F82" s="134"/>
      <c r="H82" s="18">
        <v>1</v>
      </c>
      <c r="I82" s="5" t="str">
        <f t="shared" si="24"/>
        <v>programa CNC para Fanuc</v>
      </c>
      <c r="J82" s="44" t="s">
        <v>1927</v>
      </c>
      <c r="K82" s="64" t="s">
        <v>1042</v>
      </c>
      <c r="L82" s="44" t="s">
        <v>982</v>
      </c>
      <c r="M82" s="44" t="s">
        <v>1155</v>
      </c>
      <c r="N82" s="44" t="s">
        <v>1019</v>
      </c>
      <c r="O82" s="44" t="s">
        <v>765</v>
      </c>
      <c r="P82" s="44" t="s">
        <v>1761</v>
      </c>
      <c r="Q82" s="34" t="s">
        <v>383</v>
      </c>
      <c r="R82" s="44" t="s">
        <v>1080</v>
      </c>
      <c r="S82" s="44" t="s">
        <v>1824</v>
      </c>
      <c r="T82" s="44" t="s">
        <v>1287</v>
      </c>
      <c r="U82" s="34" t="s">
        <v>1526</v>
      </c>
      <c r="V82" s="44" t="s">
        <v>315</v>
      </c>
      <c r="W82" s="34" t="s">
        <v>1369</v>
      </c>
      <c r="X82" s="34" t="s">
        <v>519</v>
      </c>
      <c r="Y82" s="34" t="s">
        <v>522</v>
      </c>
      <c r="Z82" s="44" t="s">
        <v>841</v>
      </c>
      <c r="AA82" s="74" t="s">
        <v>1471</v>
      </c>
      <c r="AB82" s="88" t="s">
        <v>1511</v>
      </c>
      <c r="AC82" s="44" t="s">
        <v>474</v>
      </c>
      <c r="AD82" s="93" t="s">
        <v>181</v>
      </c>
      <c r="AE82" s="85" t="s">
        <v>254</v>
      </c>
      <c r="AP82" s="28">
        <v>0.26</v>
      </c>
      <c r="AQ82" s="28">
        <f t="shared" si="25"/>
        <v>0.65283627746060746</v>
      </c>
      <c r="BP82" s="43"/>
      <c r="CO82" s="48">
        <v>4</v>
      </c>
      <c r="CP82" s="18" t="s">
        <v>1533</v>
      </c>
      <c r="CQ82" s="18" t="str">
        <f>SUBSTITUTE(CQ81,",",".")</f>
        <v>0.625</v>
      </c>
      <c r="CR82" s="18" t="s">
        <v>855</v>
      </c>
      <c r="CS82" s="18" t="str">
        <f>SUBSTITUTE(CS81,",",".")</f>
        <v>-0.625</v>
      </c>
      <c r="CT82" s="18" t="s">
        <v>1681</v>
      </c>
      <c r="CU82" s="6">
        <f>ROUND(C31*0.5,0)</f>
        <v>53</v>
      </c>
      <c r="CV82" s="18"/>
      <c r="CW82" s="18"/>
      <c r="CX82" s="18"/>
      <c r="CY82" s="18"/>
      <c r="CZ82" s="18"/>
      <c r="DD82" s="48">
        <v>4</v>
      </c>
      <c r="DE82" s="18" t="s">
        <v>1533</v>
      </c>
      <c r="DF82" s="18" t="str">
        <f>DH12</f>
        <v>0.493</v>
      </c>
      <c r="DG82" s="18" t="s">
        <v>855</v>
      </c>
      <c r="DH82" s="18" t="str">
        <f>DJ12</f>
        <v>-0.493</v>
      </c>
      <c r="DI82" s="18" t="s">
        <v>1681</v>
      </c>
      <c r="DJ82" s="6">
        <f>ROUND(AX62*0.5,0)</f>
        <v>44</v>
      </c>
      <c r="DS82" s="48">
        <v>4</v>
      </c>
      <c r="DT82" s="18" t="s">
        <v>1533</v>
      </c>
      <c r="DU82" s="18" t="str">
        <f>DW12</f>
        <v>0.423</v>
      </c>
      <c r="DV82" s="18" t="s">
        <v>855</v>
      </c>
      <c r="DW82" s="18" t="str">
        <f>DY12</f>
        <v>-0.423</v>
      </c>
      <c r="DX82" s="18" t="s">
        <v>1681</v>
      </c>
      <c r="DY82" s="6">
        <f>ROUND(AX68*0.5,0)</f>
        <v>39</v>
      </c>
      <c r="EH82" s="48">
        <v>4</v>
      </c>
      <c r="EI82" s="119" t="s">
        <v>1586</v>
      </c>
      <c r="EJ82" s="119">
        <f>AV9</f>
        <v>1</v>
      </c>
    </row>
    <row r="83" spans="6:154" ht="16" customHeight="1">
      <c r="F83" s="134"/>
      <c r="H83" s="18">
        <v>2</v>
      </c>
      <c r="I83" s="5" t="str">
        <f t="shared" si="24"/>
        <v>programa CNC para Heidenhain</v>
      </c>
      <c r="J83" s="44" t="s">
        <v>1928</v>
      </c>
      <c r="K83" s="64" t="s">
        <v>1538</v>
      </c>
      <c r="L83" s="44" t="s">
        <v>1631</v>
      </c>
      <c r="M83" s="44" t="s">
        <v>1676</v>
      </c>
      <c r="N83" s="44" t="s">
        <v>1677</v>
      </c>
      <c r="O83" s="44" t="s">
        <v>1564</v>
      </c>
      <c r="P83" s="44" t="s">
        <v>1762</v>
      </c>
      <c r="Q83" s="34" t="s">
        <v>1565</v>
      </c>
      <c r="R83" s="44" t="s">
        <v>1566</v>
      </c>
      <c r="S83" s="44" t="s">
        <v>1825</v>
      </c>
      <c r="T83" s="44" t="s">
        <v>1567</v>
      </c>
      <c r="U83" s="34" t="s">
        <v>1677</v>
      </c>
      <c r="V83" s="44" t="s">
        <v>1568</v>
      </c>
      <c r="W83" s="34" t="s">
        <v>1569</v>
      </c>
      <c r="X83" s="34" t="s">
        <v>1573</v>
      </c>
      <c r="Y83" s="34" t="s">
        <v>1570</v>
      </c>
      <c r="Z83" s="44" t="s">
        <v>1571</v>
      </c>
      <c r="AA83" s="74" t="s">
        <v>1572</v>
      </c>
      <c r="AB83" s="88" t="s">
        <v>1512</v>
      </c>
      <c r="AC83" s="44" t="s">
        <v>475</v>
      </c>
      <c r="AD83" s="93" t="s">
        <v>77</v>
      </c>
      <c r="AE83" s="85" t="s">
        <v>234</v>
      </c>
      <c r="AP83" s="28">
        <v>0.28000000000000003</v>
      </c>
      <c r="AQ83" s="28">
        <f t="shared" si="25"/>
        <v>0.67302709016557472</v>
      </c>
      <c r="BP83" s="43"/>
      <c r="CO83" s="48"/>
      <c r="CP83" s="18"/>
      <c r="CQ83" s="18"/>
      <c r="CR83" s="18"/>
      <c r="CS83" s="18"/>
      <c r="CT83" s="18"/>
      <c r="CU83" s="18"/>
      <c r="CV83" s="18"/>
      <c r="CW83" s="18"/>
      <c r="CX83" s="18"/>
      <c r="CY83" s="18"/>
      <c r="CZ83" s="18"/>
      <c r="DD83" s="48"/>
      <c r="DE83" s="18"/>
      <c r="DF83" s="18"/>
      <c r="DG83" s="18"/>
      <c r="DH83" s="18"/>
      <c r="DI83" s="18"/>
      <c r="DJ83" s="18"/>
      <c r="DS83" s="48"/>
      <c r="DT83" s="18"/>
      <c r="DU83" s="18"/>
      <c r="DV83" s="18"/>
      <c r="DW83" s="18"/>
      <c r="DX83" s="18"/>
      <c r="DY83" s="18"/>
      <c r="EH83" s="48"/>
    </row>
    <row r="84" spans="6:154" ht="16" customHeight="1">
      <c r="F84" s="134"/>
      <c r="H84" s="18">
        <v>3</v>
      </c>
      <c r="I84" s="5" t="str">
        <f t="shared" si="24"/>
        <v>programa CNC para Siemens</v>
      </c>
      <c r="J84" s="44" t="s">
        <v>1929</v>
      </c>
      <c r="K84" s="64" t="s">
        <v>1043</v>
      </c>
      <c r="L84" s="44" t="s">
        <v>983</v>
      </c>
      <c r="M84" s="44" t="s">
        <v>1156</v>
      </c>
      <c r="N84" s="44" t="s">
        <v>695</v>
      </c>
      <c r="O84" s="44" t="s">
        <v>790</v>
      </c>
      <c r="P84" s="44" t="s">
        <v>1763</v>
      </c>
      <c r="Q84" s="34" t="s">
        <v>384</v>
      </c>
      <c r="R84" s="44" t="s">
        <v>1081</v>
      </c>
      <c r="S84" s="44" t="s">
        <v>1826</v>
      </c>
      <c r="T84" s="44" t="s">
        <v>1288</v>
      </c>
      <c r="U84" s="34" t="s">
        <v>695</v>
      </c>
      <c r="V84" s="44" t="s">
        <v>316</v>
      </c>
      <c r="W84" s="34" t="s">
        <v>1375</v>
      </c>
      <c r="X84" s="34" t="s">
        <v>521</v>
      </c>
      <c r="Y84" s="34" t="s">
        <v>523</v>
      </c>
      <c r="Z84" s="44" t="s">
        <v>842</v>
      </c>
      <c r="AA84" s="74" t="s">
        <v>1472</v>
      </c>
      <c r="AB84" s="88" t="s">
        <v>1513</v>
      </c>
      <c r="AC84" s="44" t="s">
        <v>476</v>
      </c>
      <c r="AD84" s="93" t="s">
        <v>78</v>
      </c>
      <c r="AE84" s="85" t="s">
        <v>204</v>
      </c>
      <c r="AP84" s="28">
        <v>0.28999999999999998</v>
      </c>
      <c r="AQ84" s="28">
        <f t="shared" si="25"/>
        <v>0.69384236099543783</v>
      </c>
      <c r="BB84" s="39">
        <v>27</v>
      </c>
      <c r="BC84" s="44">
        <f>LOOKUP(AZ$54,BD$5:CN$5,BD84:CN84)</f>
        <v>0</v>
      </c>
      <c r="BD84" s="44"/>
      <c r="BJ84" s="43" t="str">
        <f>CONCATENATE(BB84,CP97,CQ97,CR97)</f>
        <v>27 CC IX-0.625 IY+0</v>
      </c>
      <c r="BN84" s="43" t="str">
        <f>CONCATENATE(BB84,DE106,EJ124,EK124,DG106)</f>
        <v>27 L IZ+1 FMAX</v>
      </c>
      <c r="BP84" s="43" t="str">
        <f>CONCATENATE(BB84,CP88,CQ88,CR88)</f>
        <v>27 CP IPA+90 IZ+0.188 DR+</v>
      </c>
      <c r="BT84" s="43" t="str">
        <f>CONCATENATE(BB84,CP97,CQ97,CR97)</f>
        <v>27 CC IX-0.625 IY+0</v>
      </c>
      <c r="BU84" s="34" t="s">
        <v>972</v>
      </c>
      <c r="BV84" s="125" t="str">
        <f>CONCATENATE(BB84,DT124,DU124,DV124)</f>
        <v>27 CC IX-0.545 IY+0</v>
      </c>
      <c r="BZ84" s="125" t="str">
        <f>CONCATENATE(BB84,CP88,FD24,CR88)</f>
        <v>27 CP IPA+90 IZ+0.375 DR+</v>
      </c>
      <c r="CA84" s="43" t="str">
        <f>BW30</f>
        <v>G03 X-0.625 Y0.625 Z0.188 I-0.625 J0. F530</v>
      </c>
      <c r="CB84" s="125" t="str">
        <f>BZ84</f>
        <v>27 CP IPA+90 IZ+0.375 DR+</v>
      </c>
      <c r="CH84" s="43" t="str">
        <f>CF48</f>
        <v>G13.1</v>
      </c>
      <c r="CK84" s="43" t="str">
        <f>BU81</f>
        <v>#2=0</v>
      </c>
      <c r="CN84" s="43" t="str">
        <f>CL30</f>
        <v>G03 X1.298 C1.286 Z0.375 I0.012 J1.286</v>
      </c>
      <c r="CO84" s="47"/>
      <c r="CP84" s="25"/>
      <c r="CQ84" s="25"/>
      <c r="CR84" s="25"/>
      <c r="CS84" s="25"/>
      <c r="CT84" s="25"/>
      <c r="CU84" s="25"/>
      <c r="CZ84" s="18"/>
      <c r="DS84" s="47"/>
      <c r="DT84" s="25"/>
      <c r="DU84" s="25"/>
      <c r="DV84" s="25"/>
      <c r="DW84" s="25"/>
      <c r="DX84" s="25"/>
      <c r="DY84" s="25"/>
      <c r="EH84" s="47"/>
    </row>
    <row r="85" spans="6:154" ht="16" customHeight="1">
      <c r="F85" s="134"/>
      <c r="H85" s="18">
        <v>4</v>
      </c>
      <c r="I85" s="5" t="str">
        <f t="shared" si="24"/>
        <v>programa CNC para Num</v>
      </c>
      <c r="J85" s="43" t="s">
        <v>1930</v>
      </c>
      <c r="K85" s="65" t="s">
        <v>1044</v>
      </c>
      <c r="L85" s="43" t="s">
        <v>932</v>
      </c>
      <c r="M85" s="43" t="s">
        <v>1157</v>
      </c>
      <c r="N85" s="43" t="s">
        <v>836</v>
      </c>
      <c r="O85" s="43" t="s">
        <v>934</v>
      </c>
      <c r="P85" s="43" t="s">
        <v>1764</v>
      </c>
      <c r="Q85" s="34" t="s">
        <v>444</v>
      </c>
      <c r="R85" s="44" t="s">
        <v>1201</v>
      </c>
      <c r="S85" s="43" t="s">
        <v>1827</v>
      </c>
      <c r="T85" s="43" t="s">
        <v>1289</v>
      </c>
      <c r="U85" s="34" t="s">
        <v>836</v>
      </c>
      <c r="V85" s="43" t="s">
        <v>317</v>
      </c>
      <c r="W85" s="34" t="s">
        <v>1376</v>
      </c>
      <c r="X85" s="34" t="s">
        <v>547</v>
      </c>
      <c r="Y85" s="34" t="s">
        <v>524</v>
      </c>
      <c r="Z85" s="43" t="s">
        <v>843</v>
      </c>
      <c r="AA85" s="74" t="s">
        <v>1473</v>
      </c>
      <c r="AB85" s="88" t="s">
        <v>1514</v>
      </c>
      <c r="AC85" s="43" t="s">
        <v>477</v>
      </c>
      <c r="AD85" s="93" t="s">
        <v>79</v>
      </c>
      <c r="AE85" s="85" t="s">
        <v>205</v>
      </c>
      <c r="AP85" s="28">
        <v>0.31</v>
      </c>
      <c r="AQ85" s="28">
        <f t="shared" si="25"/>
        <v>0.71530140308808021</v>
      </c>
      <c r="BB85" s="39"/>
      <c r="BP85" s="43"/>
      <c r="CO85" s="48">
        <v>5</v>
      </c>
      <c r="CP85" s="18" t="s">
        <v>1534</v>
      </c>
      <c r="CQ85" s="18" t="str">
        <f>CQ82</f>
        <v>0.625</v>
      </c>
      <c r="CR85" s="18"/>
      <c r="CS85" s="18"/>
      <c r="CT85" s="18"/>
      <c r="CU85" s="18"/>
      <c r="CZ85" s="18"/>
      <c r="DD85" s="48">
        <v>5</v>
      </c>
      <c r="DE85" s="18" t="s">
        <v>1534</v>
      </c>
      <c r="DF85" s="18" t="str">
        <f>DF82</f>
        <v>0.493</v>
      </c>
      <c r="DG85" s="18"/>
      <c r="DH85" s="18"/>
      <c r="DI85" s="18"/>
      <c r="DJ85" s="18"/>
      <c r="DS85" s="48">
        <v>5</v>
      </c>
      <c r="DT85" s="18" t="s">
        <v>1534</v>
      </c>
      <c r="DU85" s="18" t="str">
        <f>DU82</f>
        <v>0.423</v>
      </c>
      <c r="DV85" s="18"/>
      <c r="DW85" s="18"/>
      <c r="DX85" s="18"/>
      <c r="DY85" s="18"/>
      <c r="EH85" s="48">
        <v>5</v>
      </c>
      <c r="EI85" s="119" t="s">
        <v>21</v>
      </c>
    </row>
    <row r="86" spans="6:154" ht="16" customHeight="1">
      <c r="F86" s="134"/>
      <c r="H86" s="18">
        <v>5</v>
      </c>
      <c r="I86" s="5" t="str">
        <f t="shared" si="24"/>
        <v>programa CNC para Fagor</v>
      </c>
      <c r="J86" s="43" t="s">
        <v>1931</v>
      </c>
      <c r="K86" s="65" t="s">
        <v>1045</v>
      </c>
      <c r="L86" s="43" t="s">
        <v>928</v>
      </c>
      <c r="M86" s="43" t="s">
        <v>1158</v>
      </c>
      <c r="N86" s="43" t="s">
        <v>837</v>
      </c>
      <c r="O86" s="43" t="s">
        <v>880</v>
      </c>
      <c r="P86" s="43" t="s">
        <v>1765</v>
      </c>
      <c r="Q86" s="34" t="s">
        <v>445</v>
      </c>
      <c r="R86" s="44" t="s">
        <v>1128</v>
      </c>
      <c r="S86" s="43" t="s">
        <v>1828</v>
      </c>
      <c r="T86" s="43" t="s">
        <v>1290</v>
      </c>
      <c r="U86" s="34" t="s">
        <v>837</v>
      </c>
      <c r="V86" s="43" t="s">
        <v>370</v>
      </c>
      <c r="W86" s="34" t="s">
        <v>1323</v>
      </c>
      <c r="X86" s="34" t="s">
        <v>550</v>
      </c>
      <c r="Y86" s="34" t="s">
        <v>525</v>
      </c>
      <c r="Z86" s="43" t="s">
        <v>812</v>
      </c>
      <c r="AA86" s="74" t="s">
        <v>1329</v>
      </c>
      <c r="AB86" s="88" t="s">
        <v>1515</v>
      </c>
      <c r="AC86" s="43" t="s">
        <v>478</v>
      </c>
      <c r="AD86" s="93" t="s">
        <v>80</v>
      </c>
      <c r="AE86" s="85" t="s">
        <v>206</v>
      </c>
      <c r="AP86" s="28">
        <v>0.33</v>
      </c>
      <c r="AQ86" s="28">
        <f t="shared" si="25"/>
        <v>0.73742412689492809</v>
      </c>
      <c r="BP86" s="43"/>
      <c r="CO86" s="48"/>
      <c r="CP86" s="18"/>
      <c r="CQ86" s="18"/>
      <c r="CR86" s="18"/>
      <c r="CS86" s="18"/>
      <c r="CT86" s="18"/>
      <c r="CU86" s="18"/>
      <c r="CZ86" s="18"/>
      <c r="DD86" s="48"/>
      <c r="DE86" s="18"/>
      <c r="DF86" s="18"/>
      <c r="DG86" s="18"/>
      <c r="DH86" s="18"/>
      <c r="DI86" s="18"/>
      <c r="DJ86" s="18"/>
      <c r="DS86" s="48"/>
      <c r="DT86" s="18"/>
      <c r="DU86" s="18"/>
      <c r="DV86" s="18"/>
      <c r="DW86" s="18"/>
      <c r="DX86" s="18"/>
      <c r="DY86" s="18"/>
    </row>
    <row r="87" spans="6:154" ht="16" customHeight="1">
      <c r="F87" s="134"/>
      <c r="H87" s="18">
        <v>6</v>
      </c>
      <c r="I87" s="5" t="str">
        <f t="shared" si="24"/>
        <v>programa CNC para Mazak</v>
      </c>
      <c r="J87" s="43" t="s">
        <v>1932</v>
      </c>
      <c r="K87" s="65" t="s">
        <v>1046</v>
      </c>
      <c r="L87" s="43" t="s">
        <v>1027</v>
      </c>
      <c r="M87" s="43" t="s">
        <v>1159</v>
      </c>
      <c r="N87" s="43" t="s">
        <v>731</v>
      </c>
      <c r="O87" s="43" t="s">
        <v>786</v>
      </c>
      <c r="P87" s="43" t="s">
        <v>1766</v>
      </c>
      <c r="Q87" s="34" t="s">
        <v>446</v>
      </c>
      <c r="R87" s="44" t="s">
        <v>1129</v>
      </c>
      <c r="S87" s="43" t="s">
        <v>1829</v>
      </c>
      <c r="T87" s="43" t="s">
        <v>1291</v>
      </c>
      <c r="U87" s="34" t="s">
        <v>1427</v>
      </c>
      <c r="V87" s="43" t="s">
        <v>371</v>
      </c>
      <c r="W87" s="34" t="s">
        <v>1324</v>
      </c>
      <c r="X87" s="34" t="s">
        <v>551</v>
      </c>
      <c r="Y87" s="34" t="s">
        <v>585</v>
      </c>
      <c r="Z87" s="43" t="s">
        <v>813</v>
      </c>
      <c r="AA87" s="74" t="s">
        <v>1330</v>
      </c>
      <c r="AB87" s="88" t="s">
        <v>1516</v>
      </c>
      <c r="AC87" s="43" t="s">
        <v>479</v>
      </c>
      <c r="AD87" s="93" t="s">
        <v>81</v>
      </c>
      <c r="AE87" s="85" t="s">
        <v>207</v>
      </c>
      <c r="AP87" s="28">
        <v>0.36</v>
      </c>
      <c r="AQ87" s="28">
        <f t="shared" si="25"/>
        <v>0.76023105865456508</v>
      </c>
      <c r="BB87" s="39">
        <v>28</v>
      </c>
      <c r="BC87" s="44">
        <f>LOOKUP(AZ$54,BD$5:CN$5,BD87:CN87)</f>
        <v>0</v>
      </c>
      <c r="BD87" s="44"/>
      <c r="BJ87" s="43" t="str">
        <f>CONCATENATE(BB87,CP100,CQ100,CR100,CS100)</f>
        <v>28 CP IPA+90 IZ+0.188 DR+ F530</v>
      </c>
      <c r="BP87" s="43" t="str">
        <f>CONCATENATE(BB87,CP91,CQ91,CR91)</f>
        <v>28 CC IX-1.25 IY+0</v>
      </c>
      <c r="BT87" s="43" t="str">
        <f>CONCATENATE(BB87,CP100,CQ100,CR100,C31*5)</f>
        <v>28 CP IPA+90 IZ+0.188 DR+ F530</v>
      </c>
      <c r="BU87" s="43" t="str">
        <f>BI54</f>
        <v>G03 X0. Y0. Z1.5 I-1.25 J0. F106</v>
      </c>
      <c r="BV87" s="125" t="str">
        <f>CONCATENATE(BB87,CP100,CQ100,CR100,AX69*5)</f>
        <v>28 CP IPA+90 IZ+0.188 DR+ F475</v>
      </c>
      <c r="BZ87" s="125" t="str">
        <f>CONCATENATE(BB87,EX103,FF27,EX91,FH27)</f>
        <v>28 CC IX+0.012 IY+1.286</v>
      </c>
      <c r="CA87" s="43" t="str">
        <f>BW33</f>
        <v>G01 G40 X-0.673 Y-0.625</v>
      </c>
      <c r="CB87" s="125" t="str">
        <f>CONCATENATE(BB87,EX103,GH54,EX91,GJ54)</f>
        <v>28 CC IX+0.012 IY+1.126</v>
      </c>
      <c r="CH87" s="43" t="str">
        <f>CF51</f>
        <v>G00 Z1.</v>
      </c>
      <c r="CK87" s="43" t="str">
        <f>BU84</f>
        <v>WHILE[#2LT#1]DO3</v>
      </c>
      <c r="CN87" s="43" t="str">
        <f>CL33</f>
        <v>G03 X-0.625 C0.625 Z0.188 I-0.625 J0. F530</v>
      </c>
      <c r="CO87" s="47"/>
      <c r="CP87" s="25"/>
      <c r="CQ87" s="18">
        <f>ROUND(AR6/8,3)</f>
        <v>0.188</v>
      </c>
      <c r="CR87" s="25"/>
      <c r="CS87" s="25"/>
      <c r="CT87" s="25"/>
      <c r="CU87" s="25"/>
      <c r="CZ87" s="18"/>
      <c r="DF87" s="18"/>
      <c r="DS87" s="47"/>
      <c r="DT87" s="25"/>
      <c r="DU87" s="18"/>
      <c r="DV87" s="25"/>
      <c r="DW87" s="25"/>
      <c r="DX87" s="25"/>
      <c r="DY87" s="25"/>
    </row>
    <row r="88" spans="6:154" ht="16" customHeight="1">
      <c r="F88" s="134"/>
      <c r="H88" s="18">
        <v>7</v>
      </c>
      <c r="I88" s="5" t="str">
        <f t="shared" si="24"/>
        <v>programa CNC para Mitsubishi</v>
      </c>
      <c r="J88" s="43" t="s">
        <v>1933</v>
      </c>
      <c r="K88" s="65" t="s">
        <v>1047</v>
      </c>
      <c r="L88" s="43" t="s">
        <v>1028</v>
      </c>
      <c r="M88" s="43" t="s">
        <v>1160</v>
      </c>
      <c r="N88" s="43" t="s">
        <v>632</v>
      </c>
      <c r="O88" s="43" t="s">
        <v>760</v>
      </c>
      <c r="P88" s="43" t="s">
        <v>1767</v>
      </c>
      <c r="Q88" s="34" t="s">
        <v>447</v>
      </c>
      <c r="R88" s="44" t="s">
        <v>1123</v>
      </c>
      <c r="S88" s="43" t="s">
        <v>1830</v>
      </c>
      <c r="T88" s="43" t="s">
        <v>1292</v>
      </c>
      <c r="U88" s="34" t="s">
        <v>632</v>
      </c>
      <c r="V88" s="43" t="s">
        <v>372</v>
      </c>
      <c r="W88" s="34" t="s">
        <v>1325</v>
      </c>
      <c r="X88" s="34" t="s">
        <v>552</v>
      </c>
      <c r="Y88" s="34" t="s">
        <v>586</v>
      </c>
      <c r="Z88" s="43" t="s">
        <v>920</v>
      </c>
      <c r="AA88" s="74" t="s">
        <v>1437</v>
      </c>
      <c r="AB88" s="88" t="s">
        <v>1609</v>
      </c>
      <c r="AC88" s="43" t="s">
        <v>392</v>
      </c>
      <c r="AD88" s="93" t="s">
        <v>82</v>
      </c>
      <c r="AE88" s="85" t="s">
        <v>208</v>
      </c>
      <c r="AP88" s="28">
        <v>0.38</v>
      </c>
      <c r="AQ88" s="28">
        <f t="shared" si="25"/>
        <v>0.78374335943769602</v>
      </c>
      <c r="BP88" s="43"/>
      <c r="CO88" s="48">
        <v>6</v>
      </c>
      <c r="CP88" s="18" t="s">
        <v>1535</v>
      </c>
      <c r="CQ88" s="18" t="str">
        <f>SUBSTITUTE(CQ87,",",".")</f>
        <v>0.188</v>
      </c>
      <c r="CR88" s="18" t="s">
        <v>572</v>
      </c>
      <c r="CS88" s="18"/>
      <c r="CT88" s="25"/>
      <c r="CU88" s="25"/>
      <c r="CZ88" s="18"/>
      <c r="DD88" s="48"/>
      <c r="DE88" s="18"/>
      <c r="DF88" s="18"/>
      <c r="DG88" s="18"/>
      <c r="DH88" s="18"/>
      <c r="DS88" s="48"/>
      <c r="DT88" s="18"/>
      <c r="DU88" s="18"/>
      <c r="DV88" s="18"/>
      <c r="DW88" s="18"/>
      <c r="DX88" s="25"/>
      <c r="DY88" s="25"/>
      <c r="EH88" s="48">
        <v>6</v>
      </c>
      <c r="EI88" s="119" t="s">
        <v>1587</v>
      </c>
    </row>
    <row r="89" spans="6:154" ht="16" customHeight="1">
      <c r="F89" s="134"/>
      <c r="I89" s="5"/>
      <c r="J89" s="34"/>
      <c r="K89" s="63"/>
      <c r="AA89" s="74"/>
      <c r="AD89" s="93"/>
      <c r="AP89" s="28">
        <v>0.42</v>
      </c>
      <c r="AQ89" s="28">
        <f t="shared" si="25"/>
        <v>0.80798284478112992</v>
      </c>
      <c r="BP89" s="43"/>
      <c r="CO89" s="48"/>
      <c r="CP89" s="18"/>
      <c r="CQ89" s="18"/>
      <c r="CR89" s="18"/>
      <c r="CS89" s="18"/>
      <c r="CT89" s="18"/>
      <c r="CU89" s="18"/>
      <c r="CZ89" s="18"/>
      <c r="DD89" s="48"/>
      <c r="DE89" s="18"/>
      <c r="DF89" s="18"/>
      <c r="DG89" s="18"/>
      <c r="DH89" s="18"/>
      <c r="DI89" s="18"/>
      <c r="DJ89" s="18"/>
      <c r="DS89" s="48"/>
      <c r="DT89" s="18"/>
      <c r="DU89" s="18"/>
      <c r="DV89" s="18"/>
      <c r="DW89" s="18"/>
      <c r="DX89" s="18"/>
      <c r="DY89" s="18"/>
    </row>
    <row r="90" spans="6:154" ht="16" customHeight="1">
      <c r="F90" s="134"/>
      <c r="I90" s="5"/>
      <c r="J90" s="34"/>
      <c r="K90" s="63"/>
      <c r="AA90" s="74"/>
      <c r="AD90" s="93"/>
      <c r="AP90" s="28">
        <v>0.45</v>
      </c>
      <c r="AQ90" s="28">
        <f t="shared" si="25"/>
        <v>0.83297200492899992</v>
      </c>
      <c r="BB90" s="39">
        <v>29</v>
      </c>
      <c r="BC90" s="44">
        <f>LOOKUP(AZ$54,BD$5:CN$5,BD90:CN90)</f>
        <v>0</v>
      </c>
      <c r="BD90" s="44"/>
      <c r="BJ90" s="43" t="str">
        <f>CONCATENATE(BB90,CP103,CQ103,CR103,CS103,CT103)</f>
        <v>29 L IX-0.625 IY-0.625 R0</v>
      </c>
      <c r="BP90" s="43" t="str">
        <f>CONCATENATE(BB90,CP94,CQ94,CR94,C31)</f>
        <v>29 CP IPA+360 IZ+1.5 DR+ F106</v>
      </c>
      <c r="BT90" s="43" t="str">
        <f>CONCATENATE(BB90,CP103,CQ103,CR103,CS103,CT103)</f>
        <v>29 L IX-0.625 IY-0.625 R0</v>
      </c>
      <c r="BU90" s="43" t="str">
        <f>BU60</f>
        <v>#2=#2+1</v>
      </c>
      <c r="BV90" s="125" t="str">
        <f>CONCATENATE(BB90,DT130,DU130,DV130,DW130,DX130)</f>
        <v>29 L IX-0.545 IY-0.545 R0</v>
      </c>
      <c r="BZ90" s="125" t="str">
        <f>CONCATENATE(BB90,CP88,FD27,CR88)</f>
        <v>29 CP IPA+90 IZ+0.375 DR+</v>
      </c>
      <c r="CA90" s="43" t="str">
        <f>BW36</f>
        <v>G00 Z20.124</v>
      </c>
      <c r="CB90" s="125" t="str">
        <f>BZ90</f>
        <v>29 CP IPA+90 IZ+0.375 DR+</v>
      </c>
      <c r="CK90" s="43" t="str">
        <f>CE57</f>
        <v>G03 X0. C0. Z1.5 I-1.25 J0. F106</v>
      </c>
      <c r="CN90" s="43" t="str">
        <f>CL36</f>
        <v>G01 G40 X-0.673 C-0.625</v>
      </c>
      <c r="CO90" s="47"/>
      <c r="CP90" s="25"/>
      <c r="CQ90" s="18">
        <f>-(2*AV57)</f>
        <v>-1.25</v>
      </c>
      <c r="CR90" s="25"/>
      <c r="CS90" s="25"/>
      <c r="CT90" s="25"/>
      <c r="CU90" s="25"/>
      <c r="CZ90" s="18"/>
      <c r="DF90" s="18"/>
      <c r="DS90" s="47"/>
      <c r="DT90" s="25"/>
      <c r="DU90" s="18"/>
      <c r="DV90" s="25"/>
      <c r="DW90" s="25"/>
      <c r="DX90" s="25"/>
      <c r="DY90" s="25"/>
    </row>
    <row r="91" spans="6:154" ht="16" customHeight="1">
      <c r="F91" s="134"/>
      <c r="I91" s="5" t="str">
        <f t="shared" si="24"/>
        <v>Fresado de roscas</v>
      </c>
      <c r="J91" s="34" t="s">
        <v>1934</v>
      </c>
      <c r="K91" s="65" t="s">
        <v>1048</v>
      </c>
      <c r="L91" s="34" t="s">
        <v>1082</v>
      </c>
      <c r="M91" s="43" t="s">
        <v>1062</v>
      </c>
      <c r="N91" s="34" t="s">
        <v>774</v>
      </c>
      <c r="O91" s="34" t="s">
        <v>1029</v>
      </c>
      <c r="P91" t="s">
        <v>1768</v>
      </c>
      <c r="Q91" s="34" t="s">
        <v>448</v>
      </c>
      <c r="R91" s="44" t="s">
        <v>1312</v>
      </c>
      <c r="S91" t="s">
        <v>1831</v>
      </c>
      <c r="T91" s="34" t="s">
        <v>1293</v>
      </c>
      <c r="U91" s="34" t="s">
        <v>1428</v>
      </c>
      <c r="V91" s="43" t="s">
        <v>373</v>
      </c>
      <c r="W91" s="34" t="s">
        <v>1326</v>
      </c>
      <c r="X91" s="34" t="s">
        <v>553</v>
      </c>
      <c r="Y91" s="34" t="s">
        <v>587</v>
      </c>
      <c r="Z91" s="34" t="s">
        <v>911</v>
      </c>
      <c r="AA91" s="74" t="s">
        <v>1436</v>
      </c>
      <c r="AB91" s="88" t="s">
        <v>1517</v>
      </c>
      <c r="AC91" s="79" t="s">
        <v>393</v>
      </c>
      <c r="AD91" s="92" t="s">
        <v>83</v>
      </c>
      <c r="AE91" s="85" t="s">
        <v>209</v>
      </c>
      <c r="AP91" s="28">
        <v>0.5</v>
      </c>
      <c r="AQ91" s="28">
        <f t="shared" si="25"/>
        <v>0.8587340256999999</v>
      </c>
      <c r="BB91" s="39"/>
      <c r="BP91" s="43"/>
      <c r="CO91" s="48">
        <v>7</v>
      </c>
      <c r="CP91" s="18" t="s">
        <v>1536</v>
      </c>
      <c r="CQ91" s="18" t="str">
        <f>SUBSTITUTE(CQ90,",",".")</f>
        <v>-1.25</v>
      </c>
      <c r="CR91" s="18" t="s">
        <v>1682</v>
      </c>
      <c r="CS91" s="25"/>
      <c r="CT91" s="18"/>
      <c r="CU91" s="18"/>
      <c r="CZ91" s="18"/>
      <c r="DD91" s="48">
        <v>7</v>
      </c>
      <c r="DE91" s="18" t="s">
        <v>1536</v>
      </c>
      <c r="DF91" s="18" t="str">
        <f>DM18</f>
        <v>-0.986</v>
      </c>
      <c r="DG91" s="18" t="s">
        <v>1682</v>
      </c>
      <c r="DI91" s="18"/>
      <c r="DJ91" s="18"/>
      <c r="DS91" s="48">
        <v>7</v>
      </c>
      <c r="DT91" s="18" t="s">
        <v>1536</v>
      </c>
      <c r="DU91" s="18" t="str">
        <f>EB18</f>
        <v>-0.846</v>
      </c>
      <c r="DV91" s="18" t="s">
        <v>1682</v>
      </c>
      <c r="DW91" s="25"/>
      <c r="DX91" s="18"/>
      <c r="DY91" s="18"/>
      <c r="EW91" s="48">
        <v>7</v>
      </c>
      <c r="EX91" s="33" t="s">
        <v>1643</v>
      </c>
    </row>
    <row r="92" spans="6:154" ht="16" customHeight="1">
      <c r="F92" s="134"/>
      <c r="I92" s="5"/>
      <c r="J92" s="34"/>
      <c r="K92" s="63"/>
      <c r="AA92" s="74"/>
      <c r="AD92" s="93"/>
      <c r="AP92" s="28">
        <v>0.56000000000000005</v>
      </c>
      <c r="AQ92" s="28">
        <f t="shared" si="25"/>
        <v>0.88529280999999993</v>
      </c>
      <c r="BP92" s="43"/>
      <c r="CO92" s="48"/>
      <c r="CP92" s="18"/>
      <c r="CQ92" s="18"/>
      <c r="CR92" s="18"/>
      <c r="CS92" s="18"/>
      <c r="CT92" s="18"/>
      <c r="CU92" s="18"/>
      <c r="CZ92" s="18"/>
      <c r="DD92" s="48"/>
      <c r="DE92" s="18"/>
      <c r="DF92" s="18"/>
      <c r="DG92" s="18"/>
      <c r="DH92" s="18"/>
      <c r="DI92" s="18"/>
      <c r="DJ92" s="18"/>
      <c r="DS92" s="48"/>
      <c r="DT92" s="18"/>
      <c r="DU92" s="18"/>
      <c r="DV92" s="18"/>
      <c r="DW92" s="18"/>
      <c r="DX92" s="18"/>
      <c r="DY92" s="18"/>
    </row>
    <row r="93" spans="6:154" ht="16" customHeight="1">
      <c r="F93" s="134"/>
      <c r="I93" s="5" t="str">
        <f t="shared" si="24"/>
        <v>Leer antes de usar</v>
      </c>
      <c r="J93" s="34" t="s">
        <v>1935</v>
      </c>
      <c r="K93" s="63" t="s">
        <v>1049</v>
      </c>
      <c r="L93" s="34" t="s">
        <v>919</v>
      </c>
      <c r="M93" s="34" t="s">
        <v>1174</v>
      </c>
      <c r="N93" s="34" t="s">
        <v>1059</v>
      </c>
      <c r="O93" s="34" t="s">
        <v>781</v>
      </c>
      <c r="P93" t="s">
        <v>1769</v>
      </c>
      <c r="Q93" s="34" t="s">
        <v>449</v>
      </c>
      <c r="R93" s="34" t="s">
        <v>1181</v>
      </c>
      <c r="S93" t="s">
        <v>1832</v>
      </c>
      <c r="T93" s="34" t="s">
        <v>1215</v>
      </c>
      <c r="U93" s="34" t="s">
        <v>1539</v>
      </c>
      <c r="V93" s="34" t="s">
        <v>374</v>
      </c>
      <c r="W93" s="34" t="s">
        <v>1327</v>
      </c>
      <c r="X93" s="34" t="s">
        <v>554</v>
      </c>
      <c r="Y93" s="34" t="s">
        <v>588</v>
      </c>
      <c r="Z93" s="34" t="s">
        <v>782</v>
      </c>
      <c r="AA93" s="74" t="s">
        <v>1557</v>
      </c>
      <c r="AB93" s="88" t="s">
        <v>1518</v>
      </c>
      <c r="AC93" s="79" t="s">
        <v>394</v>
      </c>
      <c r="AD93" s="92" t="s">
        <v>161</v>
      </c>
      <c r="AE93" s="85" t="s">
        <v>210</v>
      </c>
      <c r="AP93" s="28">
        <v>0.63</v>
      </c>
      <c r="AQ93" s="28">
        <f t="shared" si="25"/>
        <v>0.91267299999999996</v>
      </c>
      <c r="BB93" s="39">
        <v>30</v>
      </c>
      <c r="BC93" s="44">
        <f>LOOKUP(AZ$54,BD$5:CN$5,BD93:CN93)</f>
        <v>0</v>
      </c>
      <c r="BD93" s="44"/>
      <c r="BJ93" s="43" t="str">
        <f>CONCATENATE(BB93,CP106,CQ106,CR106)</f>
        <v>30 L IZ+20.124 FMAX</v>
      </c>
      <c r="BP93" s="43" t="str">
        <f>CONCATENATE(BB93,CP97,CQ97,CR97)</f>
        <v>30 CC IX-0.625 IY+0</v>
      </c>
      <c r="BT93" s="43" t="str">
        <f>CONCATENATE(BB93,DE106,EO121,EP121,DG106)</f>
        <v>30 L IZ+0.624 FMAX</v>
      </c>
      <c r="BU93" s="43" t="s">
        <v>869</v>
      </c>
      <c r="BV93" s="125" t="str">
        <f>CONCATENATE(BB93,DE106,EU42,DG106)</f>
        <v>30 L IZ-21.376 FMAX</v>
      </c>
      <c r="BZ93" s="125" t="str">
        <f>CONCATENATE(BB93,CP97,CQ97,CR97)</f>
        <v>30 CC IX-0.625 IY+0</v>
      </c>
      <c r="CB93" s="125" t="str">
        <f>CONCATENATE(BB93,DT124,DU124,DV124)</f>
        <v>30 CC IX-0.545 IY+0</v>
      </c>
      <c r="CK93" s="43" t="str">
        <f>BU90</f>
        <v>#2=#2+1</v>
      </c>
      <c r="CN93" s="43" t="str">
        <f>CL39</f>
        <v>G13.1</v>
      </c>
      <c r="CO93" s="47"/>
      <c r="CP93" s="25"/>
      <c r="CQ93" s="18">
        <f>AR6</f>
        <v>1.5</v>
      </c>
      <c r="CR93" s="25"/>
      <c r="CS93" s="25"/>
      <c r="CT93" s="25"/>
      <c r="CU93" s="25"/>
      <c r="CZ93" s="18"/>
      <c r="DF93" s="11"/>
      <c r="DS93" s="47"/>
      <c r="DT93" s="25"/>
      <c r="DU93" s="11"/>
      <c r="DV93" s="25"/>
      <c r="DW93" s="25"/>
      <c r="DX93" s="25"/>
      <c r="DY93" s="25"/>
    </row>
    <row r="94" spans="6:154" ht="16" customHeight="1">
      <c r="AP94" s="28">
        <v>0.71</v>
      </c>
      <c r="AQ94" s="28">
        <f t="shared" si="25"/>
        <v>0.94089999999999996</v>
      </c>
      <c r="BP94" s="43"/>
      <c r="CO94" s="48">
        <v>8</v>
      </c>
      <c r="CP94" s="18" t="s">
        <v>1537</v>
      </c>
      <c r="CQ94" s="18" t="str">
        <f>SUBSTITUTE(CQ93,",",".")</f>
        <v>1.5</v>
      </c>
      <c r="CR94" s="18" t="s">
        <v>2342</v>
      </c>
      <c r="CS94" s="18">
        <f>C31</f>
        <v>106</v>
      </c>
      <c r="CT94" s="25"/>
      <c r="CU94" s="25"/>
      <c r="CZ94" s="18"/>
      <c r="DD94" s="48">
        <v>8</v>
      </c>
      <c r="DE94" s="18" t="str">
        <f>CP94</f>
        <v xml:space="preserve"> CP IPA+360 IZ+</v>
      </c>
      <c r="DF94" s="18" t="str">
        <f>CQ94</f>
        <v>1.5</v>
      </c>
      <c r="DG94" s="18" t="str">
        <f>CR94</f>
        <v xml:space="preserve"> DR+ F</v>
      </c>
      <c r="DH94" s="18">
        <f>AX62</f>
        <v>88</v>
      </c>
      <c r="DS94" s="48">
        <v>8</v>
      </c>
      <c r="DT94" s="18" t="str">
        <f>DE94</f>
        <v xml:space="preserve"> CP IPA+360 IZ+</v>
      </c>
      <c r="DU94" s="18" t="str">
        <f>DF94</f>
        <v>1.5</v>
      </c>
      <c r="DV94" s="18" t="str">
        <f>DG94</f>
        <v xml:space="preserve"> DR+ F</v>
      </c>
      <c r="DW94" s="18">
        <f>AX68</f>
        <v>78</v>
      </c>
      <c r="DX94" s="25"/>
      <c r="DY94" s="25"/>
    </row>
    <row r="95" spans="6:154" ht="16" customHeight="1">
      <c r="AP95" s="28">
        <v>0.83</v>
      </c>
      <c r="AQ95" s="28">
        <f t="shared" si="25"/>
        <v>0.97</v>
      </c>
      <c r="BP95" s="43"/>
      <c r="CO95" s="115"/>
      <c r="CP95" s="18"/>
      <c r="CQ95" s="18"/>
      <c r="CR95" s="18"/>
      <c r="CS95" s="18"/>
      <c r="CT95" s="18"/>
      <c r="CU95" s="18"/>
      <c r="CZ95" s="18"/>
      <c r="DD95" s="115"/>
      <c r="DE95" s="18"/>
      <c r="DF95" s="18"/>
      <c r="DG95" s="18"/>
      <c r="DH95" s="18"/>
      <c r="DI95" s="18"/>
      <c r="DJ95" s="18"/>
      <c r="DS95" s="115"/>
      <c r="DT95" s="18"/>
      <c r="DU95" s="18"/>
      <c r="DV95" s="18"/>
      <c r="DW95" s="18"/>
      <c r="DX95" s="18"/>
      <c r="DY95" s="18"/>
    </row>
    <row r="96" spans="6:154" ht="16" customHeight="1">
      <c r="AP96" s="29">
        <v>1</v>
      </c>
      <c r="AQ96" s="28">
        <v>1</v>
      </c>
      <c r="BB96" s="39">
        <v>31</v>
      </c>
      <c r="BC96" s="44">
        <f>LOOKUP(AZ$54,BD$5:CN$5,BD96:CN96)</f>
        <v>0</v>
      </c>
      <c r="BD96" s="44"/>
      <c r="BP96" s="43" t="str">
        <f>CONCATENATE(BB96,CP100,CQ100,CR100,C31*5)</f>
        <v>31 CP IPA+90 IZ+0.188 DR+ F530</v>
      </c>
      <c r="BU96" s="43" t="str">
        <f>BI57</f>
        <v>G03 X-0.625 Y0.625 Z0.188 I-0.625 J0. F530</v>
      </c>
      <c r="BV96" s="125" t="str">
        <f>CONCATENATE(BB96,CP82,CQ82,CR82,CS82,CT82,CU82)</f>
        <v>31 L IX+0.625 IY-0.625 RL F53</v>
      </c>
      <c r="BZ96" s="125" t="str">
        <f>CONCATENATE(BB96,CP100,CQ100,CR100,C31*5)</f>
        <v>31 CP IPA+90 IZ+0.188 DR+ F530</v>
      </c>
      <c r="CB96" s="125" t="str">
        <f>CONCATENATE(BB96,CP100,CQ100,CR100,AX69*5)</f>
        <v>31 CP IPA+90 IZ+0.188 DR+ F475</v>
      </c>
      <c r="CK96" s="43" t="str">
        <f>BU93</f>
        <v>END3</v>
      </c>
      <c r="CN96" s="43" t="str">
        <f>CL42</f>
        <v>G00 Z20.124</v>
      </c>
      <c r="CO96" s="47"/>
      <c r="CP96" s="25"/>
      <c r="CQ96" s="18"/>
      <c r="CR96" s="25"/>
      <c r="CS96" s="25"/>
      <c r="CT96" s="25"/>
      <c r="CU96" s="25"/>
      <c r="CZ96" s="18"/>
      <c r="DF96" s="18"/>
      <c r="DS96" s="47"/>
      <c r="DT96" s="25"/>
      <c r="DU96" s="18"/>
      <c r="DV96" s="25"/>
      <c r="DW96" s="25"/>
      <c r="DX96" s="25"/>
      <c r="DY96" s="25"/>
    </row>
    <row r="97" spans="42:154" ht="16" customHeight="1">
      <c r="AP97" s="29">
        <v>1.2</v>
      </c>
      <c r="AQ97" s="28">
        <f>AQ96*0.97</f>
        <v>0.97</v>
      </c>
      <c r="BB97" s="39"/>
      <c r="BP97" s="43"/>
      <c r="CO97" s="48">
        <v>9</v>
      </c>
      <c r="CP97" s="18" t="s">
        <v>1536</v>
      </c>
      <c r="CQ97" s="18" t="str">
        <f>CS82</f>
        <v>-0.625</v>
      </c>
      <c r="CR97" s="18" t="s">
        <v>1682</v>
      </c>
      <c r="CS97" s="25"/>
      <c r="CT97" s="18"/>
      <c r="CU97" s="18"/>
      <c r="CZ97" s="18"/>
      <c r="DD97" s="48">
        <v>9</v>
      </c>
      <c r="DE97" s="18" t="s">
        <v>1536</v>
      </c>
      <c r="DF97" s="18" t="str">
        <f>DH82</f>
        <v>-0.493</v>
      </c>
      <c r="DG97" s="18" t="s">
        <v>1682</v>
      </c>
      <c r="DI97" s="18"/>
      <c r="DJ97" s="18"/>
      <c r="DS97" s="48">
        <v>9</v>
      </c>
      <c r="DT97" s="18" t="s">
        <v>1536</v>
      </c>
      <c r="DU97" s="18" t="str">
        <f>DW82</f>
        <v>-0.423</v>
      </c>
      <c r="DV97" s="18" t="s">
        <v>1682</v>
      </c>
      <c r="DW97" s="25"/>
      <c r="DX97" s="18"/>
      <c r="DY97" s="18"/>
    </row>
    <row r="98" spans="42:154" ht="16" customHeight="1">
      <c r="AP98" s="29">
        <v>1.4</v>
      </c>
      <c r="AQ98" s="28">
        <f t="shared" ref="AQ98:AQ106" si="26">AQ97*0.97</f>
        <v>0.94089999999999996</v>
      </c>
      <c r="BP98" s="43"/>
      <c r="CO98" s="48"/>
      <c r="CP98" s="18"/>
      <c r="CQ98" s="18"/>
      <c r="CR98" s="18"/>
      <c r="CS98" s="18"/>
      <c r="CT98" s="18"/>
      <c r="CU98" s="18"/>
      <c r="CZ98" s="18"/>
      <c r="DD98" s="48"/>
      <c r="DE98" s="18"/>
      <c r="DF98" s="18"/>
      <c r="DG98" s="18"/>
      <c r="DH98" s="18"/>
      <c r="DI98" s="18"/>
      <c r="DJ98" s="18"/>
      <c r="DS98" s="48"/>
      <c r="DT98" s="18"/>
      <c r="DU98" s="18"/>
      <c r="DV98" s="18"/>
      <c r="DW98" s="18"/>
      <c r="DX98" s="18"/>
      <c r="DY98" s="18"/>
    </row>
    <row r="99" spans="42:154" ht="16" customHeight="1">
      <c r="AP99" s="29">
        <v>1.6</v>
      </c>
      <c r="AQ99" s="28">
        <f t="shared" si="26"/>
        <v>0.91267299999999996</v>
      </c>
      <c r="BB99" s="39">
        <v>32</v>
      </c>
      <c r="BC99" s="44">
        <f>LOOKUP(AZ$54,BD$5:CN$5,BD99:CN99)</f>
        <v>0</v>
      </c>
      <c r="BD99" s="44"/>
      <c r="BP99" s="43" t="str">
        <f>CONCATENATE(BB99,CP103,CQ103,CR103,CS103,CT103)</f>
        <v>32 L IX-0.625 IY-0.625 R0</v>
      </c>
      <c r="BU99" s="43" t="str">
        <f>BI60</f>
        <v>G01 G40 X-0.625 Y-0.625</v>
      </c>
      <c r="BV99" s="125" t="str">
        <f>CONCATENATE(BB99,CP85,CQ85)</f>
        <v>32 CC IX+0 IY+0.625</v>
      </c>
      <c r="BZ99" s="125" t="str">
        <f>CONCATENATE(BB99,CP103,FA33,CR103,CS103,CT103)</f>
        <v>32 L IX-0.673 IY-0.625 R0</v>
      </c>
      <c r="CB99" s="125" t="str">
        <f>CONCATENATE(BB99,CP103,GC60,CR103,GE60,CT103)</f>
        <v>32 L IX-0.593 IY-0.545 R0</v>
      </c>
      <c r="CK99" s="43" t="str">
        <f>CE60</f>
        <v>G03 X-0.625 C0.625 Z0.188 I-0.625 J0. F530</v>
      </c>
      <c r="CO99" s="47"/>
      <c r="CP99" s="25"/>
      <c r="CQ99" s="18"/>
      <c r="CR99" s="25"/>
      <c r="CS99" s="25"/>
      <c r="CT99" s="25"/>
      <c r="CU99" s="25"/>
      <c r="CZ99" s="18"/>
      <c r="DF99" s="18"/>
      <c r="DS99" s="47"/>
      <c r="DT99" s="25"/>
      <c r="DU99" s="18"/>
      <c r="DV99" s="25"/>
      <c r="DW99" s="25"/>
      <c r="DX99" s="25"/>
      <c r="DY99" s="25"/>
    </row>
    <row r="100" spans="42:154" ht="16" customHeight="1">
      <c r="AP100" s="29">
        <v>1.8</v>
      </c>
      <c r="AQ100" s="28">
        <f t="shared" si="26"/>
        <v>0.88529280999999993</v>
      </c>
      <c r="BP100" s="43"/>
      <c r="CO100" s="48">
        <v>10</v>
      </c>
      <c r="CP100" s="18" t="s">
        <v>1535</v>
      </c>
      <c r="CQ100" s="18" t="str">
        <f>CQ88</f>
        <v>0.188</v>
      </c>
      <c r="CR100" s="18" t="s">
        <v>2342</v>
      </c>
      <c r="CS100" s="18">
        <f>C31*5</f>
        <v>530</v>
      </c>
      <c r="CT100" s="25"/>
      <c r="CU100" s="25"/>
      <c r="CZ100" s="18"/>
      <c r="DD100" s="48">
        <v>10</v>
      </c>
      <c r="DE100" s="18" t="str">
        <f>CP100</f>
        <v xml:space="preserve"> CP IPA+90 IZ+</v>
      </c>
      <c r="DF100" s="18" t="str">
        <f>CQ100</f>
        <v>0.188</v>
      </c>
      <c r="DG100" s="18" t="str">
        <f>CR100</f>
        <v xml:space="preserve"> DR+ F</v>
      </c>
      <c r="DH100" s="18">
        <f>AX62*5</f>
        <v>440</v>
      </c>
      <c r="DS100" s="48">
        <v>10</v>
      </c>
      <c r="DT100" s="18" t="str">
        <f>DE100</f>
        <v xml:space="preserve"> CP IPA+90 IZ+</v>
      </c>
      <c r="DU100" s="18" t="str">
        <f>DF100</f>
        <v>0.188</v>
      </c>
      <c r="DV100" s="18" t="str">
        <f>DG100</f>
        <v xml:space="preserve"> DR+ F</v>
      </c>
      <c r="DW100" s="18">
        <f>AX68*5</f>
        <v>390</v>
      </c>
      <c r="DX100" s="25"/>
      <c r="DY100" s="25"/>
    </row>
    <row r="101" spans="42:154" ht="16" customHeight="1">
      <c r="AP101" s="29">
        <v>2</v>
      </c>
      <c r="AQ101" s="28">
        <f t="shared" si="26"/>
        <v>0.8587340256999999</v>
      </c>
      <c r="BP101" s="43"/>
      <c r="CO101" s="48"/>
      <c r="CP101" s="18"/>
      <c r="CQ101" s="18"/>
      <c r="CR101" s="18"/>
      <c r="CS101" s="18"/>
      <c r="CT101" s="39"/>
      <c r="CU101" s="18"/>
      <c r="CZ101" s="18"/>
      <c r="DD101" s="48"/>
      <c r="DE101" s="18"/>
      <c r="DF101" s="18"/>
      <c r="DG101" s="18"/>
      <c r="DH101" s="18"/>
      <c r="DI101" s="39"/>
      <c r="DJ101" s="18"/>
      <c r="DS101" s="48"/>
      <c r="DT101" s="18"/>
      <c r="DU101" s="18"/>
      <c r="DV101" s="18"/>
      <c r="DW101" s="18"/>
      <c r="DX101" s="39"/>
      <c r="DY101" s="18"/>
    </row>
    <row r="102" spans="42:154" ht="16" customHeight="1">
      <c r="AP102" s="29">
        <v>2.2000000000000002</v>
      </c>
      <c r="AQ102" s="28">
        <f t="shared" si="26"/>
        <v>0.83297200492899992</v>
      </c>
      <c r="BB102" s="39">
        <v>33</v>
      </c>
      <c r="BC102" s="44">
        <f>LOOKUP(AZ$54,BD$5:CN$5,BD102:CN102)</f>
        <v>0</v>
      </c>
      <c r="BD102" s="44"/>
      <c r="BP102" s="43" t="str">
        <f>CONCATENATE(BB102,CP106,EJ115,CR106)</f>
        <v>33 L IZ+19.125 FMAX</v>
      </c>
      <c r="BU102" s="43" t="str">
        <f>BS72</f>
        <v>G00 Z0.624</v>
      </c>
      <c r="BV102" s="125" t="str">
        <f>CONCATENATE(BB102,CP88,CQ88,CR88)</f>
        <v>33 CP IPA+90 IZ+0.188 DR+</v>
      </c>
      <c r="BZ102" s="125" t="str">
        <f>CONCATENATE(BB102,CP106,CQ106,CR106)</f>
        <v>33 L IZ+20.124 FMAX</v>
      </c>
      <c r="CB102" s="125" t="str">
        <f>CONCATENATE(BB102,DE106,DF106,DG106)</f>
        <v>33 L IZ-1.876 FMAX</v>
      </c>
      <c r="CK102" s="43" t="str">
        <f>CE63</f>
        <v>G01 G40 X-0.625 C-0.625</v>
      </c>
      <c r="CO102" s="47"/>
      <c r="CP102" s="25"/>
      <c r="CQ102" s="25"/>
      <c r="CR102" s="25"/>
      <c r="CS102" s="25"/>
      <c r="CT102" s="25"/>
      <c r="CU102" s="25"/>
      <c r="CZ102" s="18"/>
      <c r="DS102" s="47"/>
      <c r="DT102" s="25"/>
      <c r="DU102" s="25"/>
      <c r="DV102" s="25"/>
      <c r="DW102" s="25"/>
      <c r="DX102" s="25"/>
      <c r="DY102" s="25"/>
    </row>
    <row r="103" spans="42:154" ht="16" customHeight="1">
      <c r="AP103" s="29">
        <v>2.4</v>
      </c>
      <c r="AQ103" s="28">
        <f t="shared" si="26"/>
        <v>0.80798284478112992</v>
      </c>
      <c r="BP103" s="43"/>
      <c r="CO103" s="48">
        <v>11</v>
      </c>
      <c r="CP103" s="18" t="s">
        <v>1529</v>
      </c>
      <c r="CQ103" s="18" t="str">
        <f>CS82</f>
        <v>-0.625</v>
      </c>
      <c r="CR103" s="18" t="s">
        <v>855</v>
      </c>
      <c r="CS103" s="18" t="str">
        <f>CS82</f>
        <v>-0.625</v>
      </c>
      <c r="CT103" s="18" t="s">
        <v>573</v>
      </c>
      <c r="CU103" s="25"/>
      <c r="CZ103" s="18"/>
      <c r="DD103" s="48">
        <v>11</v>
      </c>
      <c r="DE103" s="18" t="s">
        <v>1529</v>
      </c>
      <c r="DF103" s="18" t="str">
        <f>DH82</f>
        <v>-0.493</v>
      </c>
      <c r="DG103" s="18" t="s">
        <v>855</v>
      </c>
      <c r="DH103" s="18" t="str">
        <f>DH82</f>
        <v>-0.493</v>
      </c>
      <c r="DI103" s="18" t="s">
        <v>573</v>
      </c>
      <c r="DS103" s="48">
        <v>11</v>
      </c>
      <c r="DT103" s="18" t="s">
        <v>1529</v>
      </c>
      <c r="DU103" s="18" t="str">
        <f>DW82</f>
        <v>-0.423</v>
      </c>
      <c r="DV103" s="18" t="s">
        <v>855</v>
      </c>
      <c r="DW103" s="18" t="str">
        <f>DW82</f>
        <v>-0.423</v>
      </c>
      <c r="DX103" s="18" t="s">
        <v>573</v>
      </c>
      <c r="DY103" s="25"/>
      <c r="EW103" s="48">
        <v>11</v>
      </c>
      <c r="EX103" s="18" t="s">
        <v>1644</v>
      </c>
    </row>
    <row r="104" spans="42:154" ht="16" customHeight="1">
      <c r="AP104" s="29">
        <v>2.6</v>
      </c>
      <c r="AQ104" s="28">
        <f t="shared" si="26"/>
        <v>0.78374335943769602</v>
      </c>
      <c r="BP104" s="43"/>
      <c r="CP104" s="18"/>
      <c r="CQ104" s="18"/>
      <c r="CR104" s="18"/>
      <c r="CS104" s="18"/>
      <c r="CT104" s="39"/>
      <c r="CU104" s="18"/>
      <c r="CZ104" s="18"/>
      <c r="DD104" s="45"/>
      <c r="DE104" s="18"/>
      <c r="DF104" s="18"/>
      <c r="DG104" s="18"/>
      <c r="DH104" s="18"/>
      <c r="DI104" s="39"/>
      <c r="DJ104" s="18"/>
      <c r="DT104" s="18"/>
      <c r="DU104" s="18"/>
      <c r="DV104" s="18"/>
      <c r="DW104" s="18"/>
      <c r="DX104" s="39"/>
      <c r="DY104" s="18"/>
    </row>
    <row r="105" spans="42:154" ht="16" customHeight="1">
      <c r="AP105" s="29">
        <v>2.8</v>
      </c>
      <c r="AQ105" s="28">
        <f t="shared" si="26"/>
        <v>0.76023105865456508</v>
      </c>
      <c r="BB105" s="39">
        <v>34</v>
      </c>
      <c r="BC105" s="44">
        <f>LOOKUP(AZ$54,BD$5:CN$5,BD105:CN105)</f>
        <v>0</v>
      </c>
      <c r="BD105" s="44"/>
      <c r="BP105" s="43" t="str">
        <f>CONCATENATE(BB105,EI118)</f>
        <v>34 FN 1: Q2 =+Q2 + +1</v>
      </c>
      <c r="BV105" s="125" t="str">
        <f>CONCATENATE(BB105,EI85)</f>
        <v>34 FN 0: Q2 =+0</v>
      </c>
      <c r="CB105" s="125" t="str">
        <f>CONCATENATE(BB105,CP82,CQ82,CR82,CS82,CT82,CU82)</f>
        <v>34 L IX+0.625 IY-0.625 RL F53</v>
      </c>
      <c r="CK105" s="43" t="str">
        <f>CE66</f>
        <v>G13.1</v>
      </c>
      <c r="CP105" s="25"/>
      <c r="CQ105" s="18">
        <f>-CQ78-CQ87-CQ93-CQ87</f>
        <v>20.124000000000002</v>
      </c>
      <c r="CR105" s="25"/>
      <c r="CS105" s="25"/>
      <c r="CT105" s="25"/>
      <c r="CU105" s="18"/>
      <c r="CZ105" s="18"/>
      <c r="DD105" s="45"/>
      <c r="DF105" s="11"/>
      <c r="DJ105" s="18"/>
      <c r="DT105" s="25"/>
      <c r="DU105" s="11"/>
      <c r="DV105" s="25"/>
      <c r="DW105" s="25"/>
      <c r="DX105" s="25"/>
      <c r="DY105" s="18"/>
    </row>
    <row r="106" spans="42:154" ht="16" customHeight="1">
      <c r="AP106" s="29">
        <v>3</v>
      </c>
      <c r="AQ106" s="28">
        <f t="shared" si="26"/>
        <v>0.73742412689492809</v>
      </c>
      <c r="BP106" s="43"/>
      <c r="CO106" s="48">
        <v>12</v>
      </c>
      <c r="CP106" s="18" t="s">
        <v>1528</v>
      </c>
      <c r="CQ106" s="18" t="str">
        <f>SUBSTITUTE(CQ105,",",".")</f>
        <v>20.124</v>
      </c>
      <c r="CR106" s="18" t="s">
        <v>854</v>
      </c>
      <c r="CS106" s="25"/>
      <c r="CT106" s="39"/>
      <c r="DD106" s="48">
        <v>12</v>
      </c>
      <c r="DE106" s="18" t="s">
        <v>1532</v>
      </c>
      <c r="DF106" s="18" t="str">
        <f>DG27</f>
        <v>-1.876</v>
      </c>
      <c r="DG106" s="18" t="s">
        <v>854</v>
      </c>
      <c r="DI106" s="39"/>
      <c r="DJ106"/>
      <c r="DS106" s="48">
        <v>12</v>
      </c>
      <c r="DT106" s="18" t="s">
        <v>1532</v>
      </c>
      <c r="DU106" s="18" t="str">
        <f>DV27</f>
        <v>-1.876</v>
      </c>
      <c r="DV106" s="18" t="s">
        <v>854</v>
      </c>
      <c r="DW106" s="25"/>
      <c r="DX106" s="39"/>
    </row>
    <row r="107" spans="42:154" ht="16" customHeight="1">
      <c r="AP107" s="29">
        <v>3.2</v>
      </c>
      <c r="AQ107" s="28">
        <f>AQ106*0.97</f>
        <v>0.71530140308808021</v>
      </c>
      <c r="BP107" s="43"/>
      <c r="CO107" s="47"/>
      <c r="DE107"/>
      <c r="DF107"/>
      <c r="DG107"/>
      <c r="DH107"/>
      <c r="DI107"/>
      <c r="DJ107"/>
      <c r="DS107" s="47"/>
    </row>
    <row r="108" spans="42:154" ht="16" customHeight="1">
      <c r="AP108" s="29">
        <v>3.4</v>
      </c>
      <c r="AQ108" s="28">
        <f>AQ107*0.97</f>
        <v>0.69384236099543783</v>
      </c>
      <c r="BB108" s="39">
        <v>35</v>
      </c>
      <c r="BC108" s="44">
        <f>LOOKUP(AZ$54,BD$5:CN$5,BD108:CN108)</f>
        <v>0</v>
      </c>
      <c r="BD108" s="44"/>
      <c r="BP108" s="43" t="str">
        <f>CONCATENATE(BB108,EI121)</f>
        <v>35 FN 12: IF +Q2 LT +Q1 GOTO LBL 101</v>
      </c>
      <c r="BV108" s="125" t="str">
        <f>CONCATENATE(BB108,ES175)</f>
        <v>35 LBL 103</v>
      </c>
      <c r="CB108" s="125" t="str">
        <f>CONCATENATE(BB108,CP85,CQ85)</f>
        <v>35 CC IX+0 IY+0.625</v>
      </c>
      <c r="CK108" s="43" t="str">
        <f>CJ78</f>
        <v>G00 Z0.624</v>
      </c>
      <c r="CO108" s="47"/>
      <c r="CU108" s="25"/>
      <c r="DE108"/>
      <c r="DF108"/>
      <c r="DG108"/>
      <c r="DH108"/>
      <c r="DI108"/>
      <c r="DS108" s="47"/>
      <c r="DY108" s="25"/>
    </row>
    <row r="109" spans="42:154" ht="16" customHeight="1">
      <c r="AP109" s="29">
        <v>3.6</v>
      </c>
      <c r="AQ109" s="28">
        <f>AQ108*0.97</f>
        <v>0.67302709016557472</v>
      </c>
      <c r="BP109" s="43"/>
      <c r="CO109" s="47"/>
      <c r="CP109" s="25"/>
      <c r="CQ109" s="25"/>
      <c r="CR109" s="25"/>
      <c r="CS109" s="25"/>
      <c r="CT109" s="25"/>
      <c r="CU109" s="25"/>
      <c r="DS109" s="48">
        <v>13</v>
      </c>
      <c r="DT109" s="18" t="s">
        <v>1533</v>
      </c>
      <c r="DU109" s="25" t="str">
        <f>DW30</f>
        <v>0.545</v>
      </c>
      <c r="DV109" s="25" t="str">
        <f>DV82</f>
        <v xml:space="preserve"> IY</v>
      </c>
      <c r="DW109" s="25" t="str">
        <f>DY30</f>
        <v>-0.545</v>
      </c>
      <c r="DX109" s="25" t="str">
        <f>DX82</f>
        <v xml:space="preserve"> RL F</v>
      </c>
      <c r="DY109" s="6">
        <f>ROUND(AX69*0.5,0)</f>
        <v>48</v>
      </c>
    </row>
    <row r="110" spans="42:154" ht="16" customHeight="1">
      <c r="AP110" s="29">
        <v>3.8</v>
      </c>
      <c r="AQ110" s="28">
        <f>AQ109*0.97</f>
        <v>0.65283627746060746</v>
      </c>
      <c r="BP110" s="43"/>
      <c r="CO110" s="47"/>
      <c r="CP110" s="25"/>
      <c r="CQ110" s="25"/>
      <c r="CR110" s="25"/>
      <c r="CS110" s="25"/>
      <c r="CT110" s="25"/>
      <c r="CU110" s="25"/>
      <c r="DS110" s="47"/>
      <c r="DT110" s="25"/>
      <c r="DU110" s="25"/>
      <c r="DV110" s="25"/>
      <c r="DW110" s="25"/>
      <c r="DX110" s="25"/>
      <c r="DY110" s="25"/>
    </row>
    <row r="111" spans="42:154" ht="16" customHeight="1">
      <c r="AP111" s="29">
        <v>4</v>
      </c>
      <c r="AQ111" s="28">
        <f>AQ110*0.97</f>
        <v>0.63325118913678924</v>
      </c>
      <c r="BB111" s="39">
        <v>36</v>
      </c>
      <c r="BC111" s="44">
        <f>LOOKUP(AZ$54,BD$5:CN$5,BD111:CN111)</f>
        <v>0</v>
      </c>
      <c r="BD111" s="44"/>
      <c r="BP111" s="43" t="str">
        <f>CONCATENATE(BB111,DE106,EJ124,EK124,DG106)</f>
        <v>36 L IZ+1 FMAX</v>
      </c>
      <c r="BV111" s="125" t="str">
        <f>CONCATENATE(BB111,CP91,CQ91,CR91)</f>
        <v>36 CC IX-1.25 IY+0</v>
      </c>
      <c r="CB111" s="125" t="str">
        <f>CONCATENATE(BB111,CP88,CQ88,CR88)</f>
        <v>36 CP IPA+90 IZ+0.188 DR+</v>
      </c>
      <c r="CO111" s="47"/>
      <c r="CP111" s="25"/>
      <c r="CQ111" s="25"/>
      <c r="CR111" s="25"/>
      <c r="CS111" s="25"/>
      <c r="CT111" s="25"/>
      <c r="CU111" s="25"/>
      <c r="DS111" s="47"/>
      <c r="DT111" s="25"/>
      <c r="DU111" s="25"/>
      <c r="DV111" s="25"/>
      <c r="DW111" s="25"/>
      <c r="DX111" s="25"/>
      <c r="DY111" s="25"/>
    </row>
    <row r="112" spans="42:154" ht="16" customHeight="1">
      <c r="AP112" s="29">
        <v>10</v>
      </c>
      <c r="AQ112" s="28">
        <v>0.5</v>
      </c>
      <c r="BP112" s="43"/>
      <c r="DS112" s="48">
        <v>14</v>
      </c>
      <c r="DT112" s="18" t="s">
        <v>1534</v>
      </c>
      <c r="DU112" s="25" t="str">
        <f>DU109</f>
        <v>0.545</v>
      </c>
      <c r="DV112" s="25"/>
      <c r="DW112" s="25"/>
      <c r="DX112" s="25"/>
      <c r="DY112" s="25"/>
    </row>
    <row r="113" spans="33:146" ht="16" customHeight="1">
      <c r="BP113" s="43"/>
      <c r="DS113" s="47"/>
      <c r="DT113" s="25"/>
      <c r="DU113" s="25"/>
      <c r="DV113" s="25"/>
      <c r="DW113" s="25"/>
      <c r="DX113" s="25"/>
      <c r="DY113" s="25"/>
    </row>
    <row r="114" spans="33:146" ht="16" customHeight="1">
      <c r="BB114" s="39">
        <v>37</v>
      </c>
      <c r="BC114" s="44">
        <f>LOOKUP(AZ$54,BD$5:CN$5,BD114:CN114)</f>
        <v>0</v>
      </c>
      <c r="BD114" s="44"/>
      <c r="BP114" s="43"/>
      <c r="BV114" s="125" t="str">
        <f>CONCATENATE(BB114,CP94,CQ94,CR94,C31)</f>
        <v>37 CP IPA+360 IZ+1.5 DR+ F106</v>
      </c>
      <c r="CB114" s="125" t="str">
        <f>CONCATENATE(BB114,CP91,FF18,EX91,FH18)</f>
        <v>37 CC IX-1.25 IY+0.012</v>
      </c>
      <c r="DS114" s="47"/>
      <c r="DT114" s="25"/>
      <c r="DU114" s="25"/>
      <c r="DV114" s="25"/>
      <c r="DW114" s="25"/>
      <c r="DX114" s="25"/>
      <c r="DY114" s="25"/>
      <c r="EJ114" s="119">
        <f>AV7-(AR6*1.25)</f>
        <v>19.125</v>
      </c>
    </row>
    <row r="115" spans="33:146" ht="16" customHeight="1">
      <c r="AG115" s="7" t="s">
        <v>1015</v>
      </c>
      <c r="AH115" s="15"/>
      <c r="AI115" s="15" t="s">
        <v>662</v>
      </c>
      <c r="AJ115" s="9"/>
      <c r="AK115" s="10"/>
      <c r="AL115" s="10"/>
      <c r="AM115" s="7"/>
      <c r="AN115" s="10"/>
      <c r="AO115" s="10"/>
      <c r="AP115" s="10"/>
      <c r="AQ115" s="10"/>
      <c r="AR115" s="10"/>
      <c r="BP115" s="43"/>
      <c r="DS115" s="47"/>
      <c r="DT115" s="25"/>
      <c r="DU115" s="25"/>
      <c r="DV115" s="25"/>
      <c r="DW115" s="25"/>
      <c r="DX115" s="25"/>
      <c r="DY115" s="25"/>
      <c r="EH115" s="48">
        <v>15</v>
      </c>
      <c r="EJ115" s="120" t="str">
        <f>SUBSTITUTE(EJ114,",",".")</f>
        <v>19.125</v>
      </c>
    </row>
    <row r="116" spans="33:146" ht="16" customHeight="1">
      <c r="AG116" s="13"/>
      <c r="AH116" s="15" t="s">
        <v>2346</v>
      </c>
      <c r="AI116" s="15">
        <v>1</v>
      </c>
      <c r="AJ116" s="15">
        <f>AI116+1</f>
        <v>2</v>
      </c>
      <c r="AK116" s="15">
        <f t="shared" ref="AK116" si="27">AJ116+1</f>
        <v>3</v>
      </c>
      <c r="AL116" s="15">
        <f t="shared" ref="AL116" si="28">AK116+1</f>
        <v>4</v>
      </c>
      <c r="AM116" s="15">
        <f t="shared" ref="AM116" si="29">AL116+1</f>
        <v>5</v>
      </c>
      <c r="AN116" s="15">
        <f t="shared" ref="AN116" si="30">AM116+1</f>
        <v>6</v>
      </c>
      <c r="AO116" s="15">
        <f t="shared" ref="AO116" si="31">AN116+1</f>
        <v>7</v>
      </c>
      <c r="AP116" s="15">
        <f t="shared" ref="AP116" si="32">AO116+1</f>
        <v>8</v>
      </c>
      <c r="AQ116" s="15">
        <f t="shared" ref="AQ116" si="33">AP116+1</f>
        <v>9</v>
      </c>
      <c r="AR116" s="15">
        <f t="shared" ref="AR116" si="34">AQ116+1</f>
        <v>10</v>
      </c>
      <c r="BP116" s="43"/>
      <c r="DS116" s="47"/>
      <c r="DT116" s="25"/>
      <c r="DU116" s="25"/>
      <c r="DV116" s="25"/>
      <c r="DW116" s="25"/>
      <c r="DX116" s="25"/>
      <c r="DY116" s="25"/>
    </row>
    <row r="117" spans="33:146" ht="16" customHeight="1">
      <c r="AG117" s="13"/>
      <c r="AH117" s="7" t="s">
        <v>907</v>
      </c>
      <c r="AI117" s="16">
        <v>5.0000000000000001E-3</v>
      </c>
      <c r="AJ117" s="16">
        <v>5.7000000000000002E-2</v>
      </c>
      <c r="AK117" s="16">
        <f t="shared" ref="AK117" si="35">AJ117*1.14</f>
        <v>6.4979999999999996E-2</v>
      </c>
      <c r="AL117" s="16">
        <f t="shared" ref="AL117" si="36">AK117*1.14</f>
        <v>7.4077199999999996E-2</v>
      </c>
      <c r="AM117" s="16">
        <f t="shared" ref="AM117" si="37">AL117*1.14</f>
        <v>8.4448007999999991E-2</v>
      </c>
      <c r="AN117" s="16">
        <f t="shared" ref="AN117" si="38">AM117*1.14</f>
        <v>9.6270729119999982E-2</v>
      </c>
      <c r="AO117" s="16">
        <f t="shared" ref="AO117" si="39">AN117*1.14</f>
        <v>0.10974863119679996</v>
      </c>
      <c r="AP117" s="16">
        <f t="shared" ref="AP117" si="40">AO117*1.14</f>
        <v>0.12511343956435195</v>
      </c>
      <c r="AQ117" s="16">
        <f t="shared" ref="AQ117" si="41">AP117*1.14</f>
        <v>0.14262932110336121</v>
      </c>
      <c r="AR117" s="16">
        <f t="shared" ref="AR117" si="42">AQ117*1.14</f>
        <v>0.16259742605783176</v>
      </c>
      <c r="BB117" s="9">
        <v>38</v>
      </c>
      <c r="BC117" s="44">
        <f>LOOKUP(AZ$54,BD$5:CN$5,BD117:CN117)</f>
        <v>0</v>
      </c>
      <c r="BD117" s="44"/>
      <c r="BP117" s="43"/>
      <c r="BV117" s="125" t="str">
        <f>CONCATENATE(BB117,EI118)</f>
        <v>38 FN 1: Q2 =+Q2 + +1</v>
      </c>
      <c r="CB117" s="125" t="str">
        <f>CONCATENATE(BB117,CP100,FD18,CR100,C31)</f>
        <v>38 CP IPA+90 IZ+0.375 DR+ F106</v>
      </c>
      <c r="DS117" s="47"/>
      <c r="DT117" s="25"/>
      <c r="DU117" s="25"/>
      <c r="DV117" s="25"/>
      <c r="DW117" s="25"/>
      <c r="DX117" s="25"/>
      <c r="DY117" s="25"/>
    </row>
    <row r="118" spans="33:146" ht="16" customHeight="1">
      <c r="AG118" s="17">
        <v>100</v>
      </c>
      <c r="AH118" s="7">
        <v>0.1</v>
      </c>
      <c r="AI118" s="10">
        <v>4</v>
      </c>
      <c r="AJ118" s="10">
        <f>AI118/1.1</f>
        <v>3.6363636363636362</v>
      </c>
      <c r="AK118" s="10">
        <f>AJ118/1.1</f>
        <v>3.3057851239669418</v>
      </c>
      <c r="AL118" s="10">
        <f t="shared" ref="AL118" si="43">AK118/1.1</f>
        <v>3.0052592036063106</v>
      </c>
      <c r="AM118" s="10">
        <f t="shared" ref="AM118" si="44">AL118/1.1</f>
        <v>2.7320538214602821</v>
      </c>
      <c r="AN118" s="10">
        <f t="shared" ref="AN118" si="45">AM118/1.1</f>
        <v>2.4836852922366197</v>
      </c>
      <c r="AO118" s="10">
        <f t="shared" ref="AO118" si="46">AN118/1.1</f>
        <v>2.2578957202151084</v>
      </c>
      <c r="AP118" s="10">
        <f t="shared" ref="AP118" si="47">AO118/1.1</f>
        <v>2.0526324729228258</v>
      </c>
      <c r="AQ118" s="10">
        <f t="shared" ref="AQ118" si="48">AP118/1.1</f>
        <v>1.8660295208389324</v>
      </c>
      <c r="AR118" s="10">
        <f t="shared" ref="AR118" si="49">AQ118/1.1</f>
        <v>1.6963904734899384</v>
      </c>
      <c r="BP118" s="43"/>
      <c r="DS118" s="48">
        <v>16</v>
      </c>
      <c r="DT118" s="18" t="s">
        <v>1536</v>
      </c>
      <c r="DU118" s="25" t="str">
        <f>EB36</f>
        <v>-1.09</v>
      </c>
      <c r="DV118" s="25" t="str">
        <f>DV91</f>
        <v xml:space="preserve"> IY+0</v>
      </c>
      <c r="DW118" s="25"/>
      <c r="DX118" s="25"/>
      <c r="DY118" s="25"/>
      <c r="EH118" s="48">
        <v>16</v>
      </c>
      <c r="EI118" s="124" t="s">
        <v>1588</v>
      </c>
    </row>
    <row r="119" spans="33:146" ht="16" customHeight="1">
      <c r="AG119" s="17">
        <f>AG118+100</f>
        <v>200</v>
      </c>
      <c r="AH119" s="7">
        <v>2</v>
      </c>
      <c r="AI119" s="10">
        <f>AI118/1.03</f>
        <v>3.883495145631068</v>
      </c>
      <c r="AJ119" s="10">
        <f>AJ118/1.03</f>
        <v>3.5304501323918798</v>
      </c>
      <c r="AK119" s="10">
        <f>AK118/1.03</f>
        <v>3.2095001203562541</v>
      </c>
      <c r="AL119" s="10">
        <f t="shared" ref="AL119:AR119" si="50">AL118/1.03</f>
        <v>2.9177273821420489</v>
      </c>
      <c r="AM119" s="10">
        <f t="shared" si="50"/>
        <v>2.6524794383109533</v>
      </c>
      <c r="AN119" s="10">
        <f t="shared" si="50"/>
        <v>2.4113449439190484</v>
      </c>
      <c r="AO119" s="10">
        <f t="shared" si="50"/>
        <v>2.1921317671991343</v>
      </c>
      <c r="AP119" s="10">
        <f t="shared" si="50"/>
        <v>1.9928470610901221</v>
      </c>
      <c r="AQ119" s="10">
        <f t="shared" si="50"/>
        <v>1.8116791464455653</v>
      </c>
      <c r="AR119" s="10">
        <f t="shared" si="50"/>
        <v>1.6469810422232412</v>
      </c>
      <c r="BP119" s="43"/>
      <c r="DS119" s="47"/>
      <c r="DT119" s="25"/>
      <c r="DU119" s="25"/>
      <c r="DV119" s="25"/>
      <c r="DW119" s="25"/>
      <c r="DX119" s="25"/>
      <c r="DY119" s="25"/>
    </row>
    <row r="120" spans="33:146" ht="16" customHeight="1">
      <c r="AG120" s="17">
        <f t="shared" ref="AG120:AG129" si="51">AG119+100</f>
        <v>300</v>
      </c>
      <c r="AH120" s="7">
        <f>AH119+0.5</f>
        <v>2.5</v>
      </c>
      <c r="AI120" s="10">
        <f t="shared" ref="AI120:AI129" si="52">AI119/1.03</f>
        <v>3.7703836365350174</v>
      </c>
      <c r="AJ120" s="10">
        <f t="shared" ref="AJ120:AJ129" si="53">AJ119/1.03</f>
        <v>3.4276214877591067</v>
      </c>
      <c r="AK120" s="10">
        <f t="shared" ref="AK120:AK129" si="54">AK119/1.03</f>
        <v>3.1160195343264601</v>
      </c>
      <c r="AL120" s="10">
        <f t="shared" ref="AL120:AL129" si="55">AL119/1.03</f>
        <v>2.8327450312058726</v>
      </c>
      <c r="AM120" s="10">
        <f t="shared" ref="AM120:AM129" si="56">AM119/1.03</f>
        <v>2.5752227556417022</v>
      </c>
      <c r="AN120" s="10">
        <f t="shared" ref="AN120:AN129" si="57">AN119/1.03</f>
        <v>2.3411115960379112</v>
      </c>
      <c r="AO120" s="10">
        <f t="shared" ref="AO120:AO129" si="58">AO119/1.03</f>
        <v>2.1282832691253732</v>
      </c>
      <c r="AP120" s="10">
        <f t="shared" ref="AP120:AP129" si="59">AP119/1.03</f>
        <v>1.9348029719321573</v>
      </c>
      <c r="AQ120" s="10">
        <f t="shared" ref="AQ120:AQ129" si="60">AQ119/1.03</f>
        <v>1.7589117926655973</v>
      </c>
      <c r="AR120" s="10">
        <f t="shared" ref="AR120:AR129" si="61">AR119/1.03</f>
        <v>1.5990107206050885</v>
      </c>
      <c r="BB120" s="9">
        <v>39</v>
      </c>
      <c r="BC120" s="44">
        <f>LOOKUP(AZ$54,BD$5:CN$5,BD120:CN120)</f>
        <v>0</v>
      </c>
      <c r="BD120" s="44"/>
      <c r="BP120" s="43"/>
      <c r="BV120" s="125" t="str">
        <f>CONCATENATE(BB120,ES187)</f>
        <v>39 FN 12: IF +Q2 LT +Q1 GOTO LBL 103</v>
      </c>
      <c r="CB120" s="125" t="str">
        <f>CONCATENATE(BB120,CP91,FF21,CR82,FH21)</f>
        <v>39 CC IX-0.012 IY-1.262</v>
      </c>
      <c r="DS120" s="47"/>
      <c r="DT120" s="25"/>
      <c r="DU120" s="25"/>
      <c r="DV120" s="25"/>
      <c r="DW120" s="25"/>
      <c r="DX120" s="25"/>
      <c r="DY120" s="25"/>
      <c r="EO120" s="25"/>
      <c r="EP120" s="25">
        <f>EP40</f>
        <v>0.624</v>
      </c>
    </row>
    <row r="121" spans="33:146" ht="16" customHeight="1">
      <c r="AG121" s="17">
        <f t="shared" si="51"/>
        <v>400</v>
      </c>
      <c r="AH121" s="7">
        <f t="shared" ref="AH121:AH129" si="62">AH120+0.5</f>
        <v>3</v>
      </c>
      <c r="AI121" s="10">
        <f t="shared" si="52"/>
        <v>3.660566637412638</v>
      </c>
      <c r="AJ121" s="10">
        <f t="shared" si="53"/>
        <v>3.3277878521933073</v>
      </c>
      <c r="AK121" s="10">
        <f t="shared" si="54"/>
        <v>3.0252616838120971</v>
      </c>
      <c r="AL121" s="10">
        <f t="shared" si="55"/>
        <v>2.7502378943746337</v>
      </c>
      <c r="AM121" s="10">
        <f t="shared" si="56"/>
        <v>2.5002162676133031</v>
      </c>
      <c r="AN121" s="10">
        <f t="shared" si="57"/>
        <v>2.2729238796484572</v>
      </c>
      <c r="AO121" s="10">
        <f t="shared" si="58"/>
        <v>2.0662944360440516</v>
      </c>
      <c r="AP121" s="10">
        <f t="shared" si="59"/>
        <v>1.8784494873127742</v>
      </c>
      <c r="AQ121" s="10">
        <f t="shared" si="60"/>
        <v>1.7076813521025216</v>
      </c>
      <c r="AR121" s="10">
        <f t="shared" si="61"/>
        <v>1.5524375928204743</v>
      </c>
      <c r="BP121" s="43"/>
      <c r="DS121" s="48">
        <v>17</v>
      </c>
      <c r="DT121" s="25" t="str">
        <f>DT94</f>
        <v xml:space="preserve"> CP IPA+360 IZ+</v>
      </c>
      <c r="DU121" s="25" t="str">
        <f>DU94</f>
        <v>1.5</v>
      </c>
      <c r="DV121" s="25" t="str">
        <f>DV94</f>
        <v xml:space="preserve"> DR+ F</v>
      </c>
      <c r="DW121" s="25">
        <f>AX69</f>
        <v>95</v>
      </c>
      <c r="DX121" s="25"/>
      <c r="DY121" s="25"/>
      <c r="EH121" s="116">
        <v>17</v>
      </c>
      <c r="EI121" s="124" t="s">
        <v>1589</v>
      </c>
      <c r="EM121" s="116">
        <v>17</v>
      </c>
      <c r="EO121" s="119" t="str">
        <f>IF(EP120&lt;0,"","+")</f>
        <v>+</v>
      </c>
      <c r="EP121" s="120" t="str">
        <f>SUBSTITUTE(EP120,",",".")</f>
        <v>0.624</v>
      </c>
    </row>
    <row r="122" spans="33:146" ht="16" customHeight="1">
      <c r="AG122" s="17">
        <f t="shared" si="51"/>
        <v>500</v>
      </c>
      <c r="AH122" s="7">
        <f t="shared" si="62"/>
        <v>3.5</v>
      </c>
      <c r="AI122" s="10">
        <f t="shared" si="52"/>
        <v>3.5539481916627551</v>
      </c>
      <c r="AJ122" s="10">
        <f t="shared" si="53"/>
        <v>3.2308619924206865</v>
      </c>
      <c r="AK122" s="10">
        <f t="shared" si="54"/>
        <v>2.9371472658369875</v>
      </c>
      <c r="AL122" s="10">
        <f t="shared" si="55"/>
        <v>2.6701338780336248</v>
      </c>
      <c r="AM122" s="10">
        <f t="shared" si="56"/>
        <v>2.4273944345760223</v>
      </c>
      <c r="AN122" s="10">
        <f t="shared" si="57"/>
        <v>2.2067222132509294</v>
      </c>
      <c r="AO122" s="10">
        <f t="shared" si="58"/>
        <v>2.0061111029553897</v>
      </c>
      <c r="AP122" s="10">
        <f t="shared" si="59"/>
        <v>1.8237373663230816</v>
      </c>
      <c r="AQ122" s="10">
        <f t="shared" si="60"/>
        <v>1.6579430602937102</v>
      </c>
      <c r="AR122" s="10">
        <f t="shared" si="61"/>
        <v>1.5072209639033731</v>
      </c>
      <c r="BP122" s="43"/>
      <c r="DS122" s="47"/>
      <c r="DT122" s="25"/>
      <c r="DU122" s="25"/>
      <c r="DV122" s="25"/>
      <c r="DW122" s="25"/>
      <c r="DX122" s="25"/>
      <c r="DY122" s="25"/>
    </row>
    <row r="123" spans="33:146" ht="16" customHeight="1">
      <c r="AG123" s="17">
        <f t="shared" si="51"/>
        <v>600</v>
      </c>
      <c r="AH123" s="7">
        <f t="shared" si="62"/>
        <v>4</v>
      </c>
      <c r="AI123" s="10">
        <f t="shared" si="52"/>
        <v>3.4504351375366555</v>
      </c>
      <c r="AJ123" s="10">
        <f t="shared" si="53"/>
        <v>3.1367592159424138</v>
      </c>
      <c r="AK123" s="10">
        <f t="shared" si="54"/>
        <v>2.8515992872203761</v>
      </c>
      <c r="AL123" s="10">
        <f t="shared" si="55"/>
        <v>2.5923629883821597</v>
      </c>
      <c r="AM123" s="10">
        <f t="shared" si="56"/>
        <v>2.3566936258019635</v>
      </c>
      <c r="AN123" s="10">
        <f t="shared" si="57"/>
        <v>2.1424487507290575</v>
      </c>
      <c r="AO123" s="10">
        <f t="shared" si="58"/>
        <v>1.9476806824809609</v>
      </c>
      <c r="AP123" s="10">
        <f t="shared" si="59"/>
        <v>1.770618802255419</v>
      </c>
      <c r="AQ123" s="10">
        <f t="shared" si="60"/>
        <v>1.6096534565958351</v>
      </c>
      <c r="AR123" s="10">
        <f t="shared" si="61"/>
        <v>1.4633213241780321</v>
      </c>
      <c r="BB123" s="9">
        <v>40</v>
      </c>
      <c r="BC123" s="44">
        <f>LOOKUP(AZ$54,BD$5:CN$5,BD123:CN123)</f>
        <v>0</v>
      </c>
      <c r="BD123" s="44"/>
      <c r="BP123" s="43"/>
      <c r="BV123" s="125" t="str">
        <f>CONCATENATE(BB123,CP97,CQ97,CR97)</f>
        <v>40 CC IX-0.625 IY+0</v>
      </c>
      <c r="CB123" s="125" t="str">
        <f>CONCATENATE(BB123,CP88,FD21,CR88)</f>
        <v>40 CP IPA+90 IZ+0.375 DR+</v>
      </c>
      <c r="DS123" s="47"/>
      <c r="DT123" s="25"/>
      <c r="DU123" s="25"/>
      <c r="DV123" s="25"/>
      <c r="DW123" s="25"/>
      <c r="DX123" s="25"/>
      <c r="DY123" s="25"/>
      <c r="EK123" s="119">
        <f>ROUND((C16+C17)-(AV9*AV7),3)</f>
        <v>1</v>
      </c>
    </row>
    <row r="124" spans="33:146" ht="16" customHeight="1">
      <c r="AG124" s="17">
        <f t="shared" si="51"/>
        <v>700</v>
      </c>
      <c r="AH124" s="7">
        <f t="shared" si="62"/>
        <v>4.5</v>
      </c>
      <c r="AI124" s="10">
        <f t="shared" si="52"/>
        <v>3.3499370267346169</v>
      </c>
      <c r="AJ124" s="10">
        <f t="shared" si="53"/>
        <v>3.0453972970314696</v>
      </c>
      <c r="AK124" s="10">
        <f t="shared" si="54"/>
        <v>2.7685429973013358</v>
      </c>
      <c r="AL124" s="10">
        <f t="shared" si="55"/>
        <v>2.5168572702739413</v>
      </c>
      <c r="AM124" s="10">
        <f t="shared" si="56"/>
        <v>2.2880520638854014</v>
      </c>
      <c r="AN124" s="10">
        <f t="shared" si="57"/>
        <v>2.0800473308049101</v>
      </c>
      <c r="AO124" s="10">
        <f t="shared" si="58"/>
        <v>1.8909521189135543</v>
      </c>
      <c r="AP124" s="10">
        <f t="shared" si="59"/>
        <v>1.7190473808305038</v>
      </c>
      <c r="AQ124" s="10">
        <f t="shared" si="60"/>
        <v>1.5627703462095486</v>
      </c>
      <c r="AR124" s="10">
        <f t="shared" si="61"/>
        <v>1.4207003147359534</v>
      </c>
      <c r="BP124" s="43"/>
      <c r="DS124" s="116">
        <v>18</v>
      </c>
      <c r="DT124" s="18" t="s">
        <v>1536</v>
      </c>
      <c r="DU124" s="25" t="str">
        <f>DW109</f>
        <v>-0.545</v>
      </c>
      <c r="DV124" s="25" t="str">
        <f>DV97</f>
        <v xml:space="preserve"> IY+0</v>
      </c>
      <c r="DW124" s="25"/>
      <c r="DX124" s="25"/>
      <c r="DY124" s="25"/>
      <c r="EH124" s="116">
        <v>18</v>
      </c>
      <c r="EJ124" s="119" t="str">
        <f>IF(EK123&lt;0,"","+")</f>
        <v>+</v>
      </c>
      <c r="EK124" s="120" t="str">
        <f>SUBSTITUTE(EK123,",",".")</f>
        <v>1</v>
      </c>
    </row>
    <row r="125" spans="33:146" ht="16" customHeight="1">
      <c r="AG125" s="17">
        <f t="shared" si="51"/>
        <v>800</v>
      </c>
      <c r="AH125" s="7">
        <f t="shared" si="62"/>
        <v>5</v>
      </c>
      <c r="AI125" s="10">
        <f t="shared" si="52"/>
        <v>3.2523660453734142</v>
      </c>
      <c r="AJ125" s="10">
        <f t="shared" si="53"/>
        <v>2.956696404884922</v>
      </c>
      <c r="AK125" s="10">
        <f t="shared" si="54"/>
        <v>2.687905822622656</v>
      </c>
      <c r="AL125" s="10">
        <f>AL124/1.03</f>
        <v>2.4435507478387781</v>
      </c>
      <c r="AM125" s="10">
        <f t="shared" si="56"/>
        <v>2.2214097707625258</v>
      </c>
      <c r="AN125" s="10">
        <f t="shared" si="57"/>
        <v>2.019463427965932</v>
      </c>
      <c r="AO125" s="10">
        <f t="shared" si="58"/>
        <v>1.8358758436053926</v>
      </c>
      <c r="AP125" s="10">
        <f t="shared" si="59"/>
        <v>1.6689780396412657</v>
      </c>
      <c r="AQ125" s="10">
        <f t="shared" si="60"/>
        <v>1.5172527633102413</v>
      </c>
      <c r="AR125" s="10">
        <f t="shared" si="61"/>
        <v>1.3793206939184013</v>
      </c>
      <c r="BP125" s="43"/>
      <c r="DS125" s="47"/>
      <c r="DT125" s="25"/>
      <c r="DU125" s="25"/>
      <c r="DV125" s="25"/>
      <c r="DW125" s="25"/>
      <c r="DX125" s="25"/>
      <c r="DY125" s="25"/>
    </row>
    <row r="126" spans="33:146" ht="16" customHeight="1">
      <c r="AG126" s="17">
        <f t="shared" si="51"/>
        <v>900</v>
      </c>
      <c r="AH126" s="7">
        <f t="shared" si="62"/>
        <v>5.5</v>
      </c>
      <c r="AI126" s="10">
        <f t="shared" si="52"/>
        <v>3.157636937255742</v>
      </c>
      <c r="AJ126" s="10">
        <f t="shared" si="53"/>
        <v>2.8705790338688564</v>
      </c>
      <c r="AK126" s="10">
        <f t="shared" si="54"/>
        <v>2.6096173035171417</v>
      </c>
      <c r="AL126" s="10">
        <f t="shared" si="55"/>
        <v>2.3723793668337652</v>
      </c>
      <c r="AM126" s="10">
        <f t="shared" si="56"/>
        <v>2.1567085153034231</v>
      </c>
      <c r="AN126" s="10">
        <f t="shared" si="57"/>
        <v>1.9606441048212933</v>
      </c>
      <c r="AO126" s="10">
        <f t="shared" si="58"/>
        <v>1.7824037316557209</v>
      </c>
      <c r="AP126" s="10">
        <f t="shared" si="59"/>
        <v>1.6203670287779277</v>
      </c>
      <c r="AQ126" s="10">
        <f t="shared" si="60"/>
        <v>1.4730609352526614</v>
      </c>
      <c r="AR126" s="10">
        <f t="shared" si="61"/>
        <v>1.3391463047751468</v>
      </c>
      <c r="BB126" s="9">
        <v>41</v>
      </c>
      <c r="BC126" s="44">
        <f>LOOKUP(AZ$54,BD$5:CN$5,BD126:CN126)</f>
        <v>0</v>
      </c>
      <c r="BD126" s="44"/>
      <c r="BP126" s="43"/>
      <c r="BV126" s="125" t="str">
        <f>CONCATENATE(BB126,CP100,CQ100,CR100,C31*5)</f>
        <v>41 CP IPA+90 IZ+0.188 DR+ F530</v>
      </c>
      <c r="CB126" s="125" t="str">
        <f>CONCATENATE(BB126,EX103,FF24,CR82,FH24)</f>
        <v>41 CC IX+1.274 IY-0.012</v>
      </c>
      <c r="DS126" s="47"/>
      <c r="DT126" s="25"/>
      <c r="DU126" s="25"/>
      <c r="DV126" s="25"/>
      <c r="DW126" s="25"/>
      <c r="DX126" s="25"/>
      <c r="DY126" s="25"/>
    </row>
    <row r="127" spans="33:146" ht="16" customHeight="1">
      <c r="AG127" s="17">
        <f t="shared" si="51"/>
        <v>1000</v>
      </c>
      <c r="AH127" s="7">
        <f t="shared" si="62"/>
        <v>6</v>
      </c>
      <c r="AI127" s="10">
        <f t="shared" si="52"/>
        <v>3.0656669293745069</v>
      </c>
      <c r="AJ127" s="10">
        <f t="shared" si="53"/>
        <v>2.786969935795006</v>
      </c>
      <c r="AK127" s="10">
        <f t="shared" si="54"/>
        <v>2.5336090325409142</v>
      </c>
      <c r="AL127" s="10">
        <f t="shared" si="55"/>
        <v>2.3032809386735584</v>
      </c>
      <c r="AM127" s="10">
        <f t="shared" si="56"/>
        <v>2.0938917624305078</v>
      </c>
      <c r="AN127" s="10">
        <f t="shared" si="57"/>
        <v>1.9035379658459157</v>
      </c>
      <c r="AO127" s="10">
        <f t="shared" si="58"/>
        <v>1.7304890598599232</v>
      </c>
      <c r="AP127" s="10">
        <f t="shared" si="59"/>
        <v>1.5731718725999297</v>
      </c>
      <c r="AQ127" s="10">
        <f t="shared" si="60"/>
        <v>1.4301562478181178</v>
      </c>
      <c r="AR127" s="10">
        <f t="shared" si="61"/>
        <v>1.3001420434710163</v>
      </c>
      <c r="BP127" s="43"/>
      <c r="DS127" s="48">
        <v>19</v>
      </c>
      <c r="DT127" s="25" t="str">
        <f>DT100</f>
        <v xml:space="preserve"> CP IPA+90 IZ+</v>
      </c>
      <c r="DU127" s="25" t="str">
        <f>DU100</f>
        <v>0.188</v>
      </c>
      <c r="DV127" s="25" t="str">
        <f>DV100</f>
        <v xml:space="preserve"> DR+ F</v>
      </c>
      <c r="DW127" s="25">
        <f>AX69*5</f>
        <v>475</v>
      </c>
      <c r="DX127" s="25"/>
      <c r="DY127" s="25"/>
    </row>
    <row r="128" spans="33:146" ht="16" customHeight="1">
      <c r="AG128" s="17">
        <f t="shared" si="51"/>
        <v>1100</v>
      </c>
      <c r="AH128" s="7">
        <f t="shared" si="62"/>
        <v>6.5</v>
      </c>
      <c r="AI128" s="10">
        <f t="shared" si="52"/>
        <v>2.9763756595868998</v>
      </c>
      <c r="AJ128" s="10">
        <f t="shared" si="53"/>
        <v>2.7057960541699084</v>
      </c>
      <c r="AK128" s="10">
        <f t="shared" si="54"/>
        <v>2.4598145946999166</v>
      </c>
      <c r="AL128" s="10">
        <f t="shared" si="55"/>
        <v>2.2361950860908335</v>
      </c>
      <c r="AM128" s="10">
        <f t="shared" si="56"/>
        <v>2.0329046237189394</v>
      </c>
      <c r="AN128" s="10">
        <f t="shared" si="57"/>
        <v>1.8480951124717628</v>
      </c>
      <c r="AO128" s="10">
        <f t="shared" si="58"/>
        <v>1.6800864658834205</v>
      </c>
      <c r="AP128" s="10">
        <f t="shared" si="59"/>
        <v>1.5273513326212911</v>
      </c>
      <c r="AQ128" s="10">
        <f t="shared" si="60"/>
        <v>1.3885012114739008</v>
      </c>
      <c r="AR128" s="10">
        <f t="shared" si="61"/>
        <v>1.2622738286126371</v>
      </c>
      <c r="BP128" s="43"/>
      <c r="DS128" s="47"/>
      <c r="DT128" s="25"/>
      <c r="DU128" s="25"/>
      <c r="DV128" s="25"/>
      <c r="DW128" s="25"/>
      <c r="DX128" s="25"/>
      <c r="DY128" s="25"/>
    </row>
    <row r="129" spans="33:149" ht="16" customHeight="1">
      <c r="AG129" s="17">
        <f t="shared" si="51"/>
        <v>1200</v>
      </c>
      <c r="AH129" s="7">
        <f t="shared" si="62"/>
        <v>7</v>
      </c>
      <c r="AI129" s="10">
        <f t="shared" si="52"/>
        <v>2.8896851063950484</v>
      </c>
      <c r="AJ129" s="10">
        <f t="shared" si="53"/>
        <v>2.6269864603591344</v>
      </c>
      <c r="AK129" s="10">
        <f t="shared" si="54"/>
        <v>2.3881695094173945</v>
      </c>
      <c r="AL129" s="10">
        <f t="shared" si="55"/>
        <v>2.1710631903794502</v>
      </c>
      <c r="AM129" s="10">
        <f t="shared" si="56"/>
        <v>1.9736938094358634</v>
      </c>
      <c r="AN129" s="10">
        <f t="shared" si="57"/>
        <v>1.7942670994871484</v>
      </c>
      <c r="AO129" s="10">
        <f t="shared" si="58"/>
        <v>1.63115190862468</v>
      </c>
      <c r="AP129" s="10">
        <f t="shared" si="59"/>
        <v>1.4828653714769815</v>
      </c>
      <c r="AQ129" s="10">
        <f t="shared" si="60"/>
        <v>1.3480594286154377</v>
      </c>
      <c r="AR129" s="10">
        <f t="shared" si="61"/>
        <v>1.2255085714685798</v>
      </c>
      <c r="BB129" s="9">
        <v>42</v>
      </c>
      <c r="BC129" s="44">
        <f>LOOKUP(AZ$54,BD$5:CN$5,BD129:CN129)</f>
        <v>0</v>
      </c>
      <c r="BD129" s="44"/>
      <c r="BP129" s="43"/>
      <c r="BV129" s="125" t="str">
        <f>CONCATENATE(BB129,CP103,CQ103,CR103,CS103,CT103)</f>
        <v>42 L IX-0.625 IY-0.625 R0</v>
      </c>
      <c r="CB129" s="125" t="str">
        <f>CONCATENATE(BB129,CP88,FD24,CR88)</f>
        <v>42 CP IPA+90 IZ+0.375 DR+</v>
      </c>
      <c r="DS129" s="47"/>
      <c r="DT129" s="25"/>
      <c r="DU129" s="25"/>
      <c r="DV129" s="25"/>
      <c r="DW129" s="25"/>
      <c r="DX129" s="25"/>
      <c r="DY129" s="25"/>
    </row>
    <row r="130" spans="33:149" ht="16" customHeight="1">
      <c r="AG130" s="13"/>
      <c r="AH130" s="15"/>
      <c r="AI130" s="10"/>
      <c r="AJ130" s="9"/>
      <c r="AK130" s="10"/>
      <c r="AL130" s="10"/>
      <c r="AM130" s="10"/>
      <c r="AN130" s="10"/>
      <c r="AO130" s="10"/>
      <c r="AP130" s="10"/>
      <c r="AQ130" s="10"/>
      <c r="AR130" s="10"/>
      <c r="BP130" s="43"/>
      <c r="DS130" s="116">
        <v>20</v>
      </c>
      <c r="DT130" s="18" t="s">
        <v>1529</v>
      </c>
      <c r="DU130" s="25" t="str">
        <f>DW109</f>
        <v>-0.545</v>
      </c>
      <c r="DV130" s="25" t="str">
        <f>DV103</f>
        <v xml:space="preserve"> IY</v>
      </c>
      <c r="DW130" s="25" t="str">
        <f>DW109</f>
        <v>-0.545</v>
      </c>
      <c r="DX130" s="25" t="str">
        <f>DX103</f>
        <v xml:space="preserve"> R0</v>
      </c>
      <c r="DY130" s="25"/>
    </row>
    <row r="131" spans="33:149" ht="16" customHeight="1">
      <c r="AG131" s="13"/>
      <c r="AH131" s="15"/>
      <c r="AI131" s="10"/>
      <c r="AJ131" s="9"/>
      <c r="AK131" s="15" t="s">
        <v>662</v>
      </c>
      <c r="AL131" s="15" t="s">
        <v>2346</v>
      </c>
      <c r="AM131" s="10"/>
      <c r="AN131" s="10"/>
      <c r="AO131" s="10"/>
      <c r="AP131" s="10"/>
      <c r="AQ131" s="10"/>
      <c r="AR131" s="10"/>
      <c r="BP131" s="43"/>
      <c r="DS131" s="47"/>
      <c r="DT131" s="25"/>
      <c r="DU131" s="25"/>
      <c r="DV131" s="25"/>
      <c r="DW131" s="25"/>
      <c r="DX131" s="25"/>
      <c r="DY131" s="25"/>
    </row>
    <row r="132" spans="33:149" ht="16" customHeight="1">
      <c r="AG132" s="13"/>
      <c r="AH132" s="13" t="s">
        <v>908</v>
      </c>
      <c r="AI132" s="10">
        <f>0.54*AR6</f>
        <v>0.81</v>
      </c>
      <c r="AJ132" s="9"/>
      <c r="AK132" s="9"/>
      <c r="AL132" s="9"/>
      <c r="AM132" s="10"/>
      <c r="AN132" s="10" t="b">
        <f>IF(AL136=101,AI118,IF(AL136=102,AJ118,IF(AL136=103,AK118,IF(AL136=104,AL118,IF(AL136=105,AM118,IF(AL136=106,AN118,IF(AL136=107,AO118,IF(AL136=108,AP118))))))))</f>
        <v>0</v>
      </c>
      <c r="AO132" s="10" t="b">
        <f>IF(AL136=501,AI122,IF(AL136=502,AJ122,IF(AL136=503,AK122,IF(AL136=504,AL122,IF(AL136=505,AM122,IF(AL136=506,AN122,IF(AL136=507,AO122,IF(AL136=508,AP122))))))))</f>
        <v>0</v>
      </c>
      <c r="AP132" s="10" t="b">
        <f>IF(AL136=901,AI126,IF(AL136=902,AJ126,IF(AL136=903,AK126,IF(AL136=904,AL126,IF(AL136=905,AM126,IF(AL136=906,AN126,IF(AL136=907,AO126,IF(AL136=908,AP126))))))))</f>
        <v>0</v>
      </c>
      <c r="AQ132" s="10"/>
      <c r="AR132" s="10"/>
      <c r="BB132" s="9">
        <v>43</v>
      </c>
      <c r="BC132" s="44">
        <f>LOOKUP(AZ$54,BD$5:CN$5,BD132:CN132)</f>
        <v>0</v>
      </c>
      <c r="BD132" s="44"/>
      <c r="BP132" s="43"/>
      <c r="BV132" s="125" t="str">
        <f>CONCATENATE(BB132,DE106,EO121,EP121,DG106)</f>
        <v>43 L IZ+0.624 FMAX</v>
      </c>
      <c r="CB132" s="125" t="str">
        <f>CONCATENATE(BB132,EX103,FF27,EX91,FH27)</f>
        <v>43 CC IX+0.012 IY+1.286</v>
      </c>
      <c r="DS132" s="47"/>
      <c r="DT132" s="25"/>
      <c r="DU132" s="25"/>
      <c r="DV132" s="25"/>
      <c r="DW132" s="25"/>
      <c r="DX132" s="25"/>
      <c r="DY132" s="25"/>
    </row>
    <row r="133" spans="33:149" ht="16" customHeight="1">
      <c r="AG133" s="13"/>
      <c r="AH133" s="13" t="s">
        <v>931</v>
      </c>
      <c r="AI133" s="11">
        <f>AI64/AK13</f>
        <v>0.10800000000000001</v>
      </c>
      <c r="AJ133" s="9"/>
      <c r="AK133" s="25">
        <f>LOOKUP(AI133,AI117:AR117,AI116:AR116)</f>
        <v>6</v>
      </c>
      <c r="AL133" s="25">
        <f>LOOKUP(AI134,AH118:AH129,AG118:AG129)</f>
        <v>300</v>
      </c>
      <c r="AM133" s="10"/>
      <c r="AN133" s="10" t="b">
        <f>IF(AL136=109,AQ118,IF(AL136=110,AR118,IF(AL136=201,AI119,IF(AL136=202,AJ119,IF(AL136=203,AK119,IF(AL136=204,AL119,IF(AL136=205,AM119,IF(AL136=206,AN119))))))))</f>
        <v>0</v>
      </c>
      <c r="AO133" s="10" t="b">
        <f>IF(AL136=509,AQ122,IF(AL136=510,AR122,IF(AL136=601,AI123,IF(AL136=602,AJ123,IF(AL136=603,AK123,IF(AL136=604,AL123,IF(AL136=605,AM123,IF(AL136=606,AN123))))))))</f>
        <v>0</v>
      </c>
      <c r="AP133" s="10" t="b">
        <f>IF(AL136=909,AQ126,IF(AL136=910,AR126,IF(AL136=1001,AI127,IF(AL136=1002,AJ127,IF(AL136=1003,AK127,IF(AL136=1004,AL127,IF(AL136=1005,AM127,IF(AL136=1006,AN127))))))))</f>
        <v>0</v>
      </c>
      <c r="AQ133" s="10"/>
      <c r="AR133" s="10"/>
      <c r="BP133" s="43"/>
      <c r="DS133" s="116">
        <v>21</v>
      </c>
      <c r="DT133" s="18" t="s">
        <v>1532</v>
      </c>
      <c r="DU133" s="25" t="str">
        <f>DU106</f>
        <v>-1.876</v>
      </c>
      <c r="DV133" s="25" t="str">
        <f>DV106</f>
        <v xml:space="preserve"> FMAX</v>
      </c>
      <c r="DW133" s="25"/>
      <c r="DX133" s="25"/>
      <c r="DY133" s="25"/>
    </row>
    <row r="134" spans="33:149" ht="16" customHeight="1">
      <c r="AG134" s="13"/>
      <c r="AH134" s="13" t="s">
        <v>2347</v>
      </c>
      <c r="AI134" s="10">
        <f>AQ75/AK13</f>
        <v>2.9</v>
      </c>
      <c r="AJ134" s="9"/>
      <c r="AK134" s="9"/>
      <c r="AL134" s="9"/>
      <c r="AM134" s="10"/>
      <c r="AN134" s="10" t="b">
        <f>IF(AL136=207,AO119,IF(AL136=208,AP119,IF(AL136=209,AQ119,IF(AL136=210,AR119,IF(AL136=301,AI120,IF(AL136=302,AJ120,IF(AL136=303,AK120,IF(AL136=304,AL120))))))))</f>
        <v>0</v>
      </c>
      <c r="AO134" s="10" t="b">
        <f>IF(AL136=607,AO123,IF(AL136=608,AP123,IF(AL136=609,AQ123,IF(AL136=610,AR123,IF(AL136=701,AI124,IF(AL136=702,AJ124,IF(AL136=703,AK124,IF(AL136=704,AL124))))))))</f>
        <v>0</v>
      </c>
      <c r="AP134" s="10" t="b">
        <f>IF(AL136=1007,AO127,IF(AL136=1008,AP127,IF(AL136=1009,AQ127,IF(AL136=1010,AR127,IF(AL136=1101,AI128,IF(AL136=1102,AJ128,IF(AL136=1103,AK128,IF(AL136=1104,AL128))))))))</f>
        <v>0</v>
      </c>
      <c r="AQ134" s="10"/>
      <c r="AR134" s="10"/>
      <c r="BP134" s="43"/>
      <c r="DS134" s="47"/>
      <c r="DT134" s="25"/>
      <c r="DU134" s="25"/>
      <c r="DV134" s="25"/>
      <c r="DW134" s="25"/>
      <c r="DX134" s="25"/>
      <c r="DY134" s="25"/>
    </row>
    <row r="135" spans="33:149" ht="16" customHeight="1">
      <c r="AG135" s="13"/>
      <c r="AH135" s="15"/>
      <c r="AI135" s="10"/>
      <c r="AJ135" s="9"/>
      <c r="AK135" s="10"/>
      <c r="AL135" s="10"/>
      <c r="AM135" s="10"/>
      <c r="AN135" s="10">
        <f>IF(AL136=305,AM120,IF(AL136=306,AN120,IF(AL136=307,AO120,IF(AL136=308,AP120,IF(AL136=309,AQ120,IF(AL136=310,AR120,IF(AL136=401,AI121,IF(AL136=402,AJ121))))))))</f>
        <v>2.3411115960379112</v>
      </c>
      <c r="AO135" s="10" t="b">
        <f>IF(AL136=705,AM124,IF(AL136=706,AN124,IF(AL136=707,AO124,IF(AL136=708,AP124,IF(AL136=709,AQ124,IF(AL136=710,AR124,IF(AL136=801,AI125,IF(AL136=802,AJ125))))))))</f>
        <v>0</v>
      </c>
      <c r="AP135" s="10" t="b">
        <f>IF(AL136=1105,AM128,IF(AL136=1106,AN128,IF(AL136=1107,AO128,IF(AL136=1108,AP128,IF(AL136=1109,AQ128,IF(AL136=1110,AR128,IF(AL136=1201,AI129,IF(AL136=1202,AJ129))))))))</f>
        <v>0</v>
      </c>
      <c r="AQ135" s="10"/>
      <c r="AR135" s="10"/>
      <c r="BB135" s="9">
        <v>44</v>
      </c>
      <c r="BC135" s="44">
        <f>LOOKUP(AZ$54,BD$5:CN$5,BD135:CN135)</f>
        <v>0</v>
      </c>
      <c r="BD135" s="44"/>
      <c r="BP135" s="43"/>
      <c r="CB135" s="125" t="str">
        <f>CONCATENATE(BB135,CP88,FD27,CR88)</f>
        <v>44 CP IPA+90 IZ+0.375 DR+</v>
      </c>
      <c r="DS135" s="47"/>
      <c r="DT135" s="25"/>
      <c r="DU135" s="25"/>
      <c r="DV135" s="25"/>
      <c r="DW135" s="25"/>
      <c r="DX135" s="25"/>
      <c r="DY135" s="25"/>
    </row>
    <row r="136" spans="33:149" ht="16" customHeight="1">
      <c r="AG136" s="13"/>
      <c r="AH136" s="15"/>
      <c r="AI136" s="10"/>
      <c r="AJ136" s="9"/>
      <c r="AK136" s="10"/>
      <c r="AL136" s="6">
        <f>AL133+AK133</f>
        <v>306</v>
      </c>
      <c r="AM136" s="10"/>
      <c r="AN136" s="10" t="b">
        <f>IF(AL136=403,AK121,IF(AL136=404,AL121,IF(AL136=405,AM121,IF(AL136=406,AN121,IF(AL136=407,AO121,IF(AL136=408,AP121,IF(AL136=409,AQ121,IF(AL136=410,AR121))))))))</f>
        <v>0</v>
      </c>
      <c r="AO136" s="10" t="b">
        <f>IF(AL136=803,AK125,IF(AL136=804,AL125,IF(AL136=805,AM125,IF(AL136=806,AN125,IF(AL136=807,AO125,IF(AL136=808,AP125,IF(AL136=809,AQ125,IF(AL136=810,AR125))))))))</f>
        <v>0</v>
      </c>
      <c r="AP136" s="10" t="b">
        <f>IF(AL136=1203,AK129,IF(AL136=1204,AL129,IF(AL136=1205,AM129,IF(AL136=1206,AN129,IF(AL136=1207,AO129,IF(AL136=1208,AP129,IF(AL136=1209,AQ129,IF(AL136=1210,AR129))))))))</f>
        <v>0</v>
      </c>
      <c r="AQ136" s="7" t="s">
        <v>907</v>
      </c>
      <c r="AR136" s="10"/>
      <c r="BP136" s="43"/>
      <c r="DS136" s="47"/>
      <c r="DT136" s="25"/>
      <c r="DU136" s="25"/>
      <c r="DV136" s="25"/>
      <c r="DW136" s="25"/>
      <c r="DX136" s="25"/>
      <c r="DY136" s="25"/>
      <c r="ER136" s="116">
        <v>22</v>
      </c>
      <c r="ES136" s="119" t="s">
        <v>23</v>
      </c>
    </row>
    <row r="137" spans="33:149" ht="16" customHeight="1">
      <c r="AG137" s="13"/>
      <c r="AH137" s="15"/>
      <c r="AI137" s="10"/>
      <c r="AJ137" s="9"/>
      <c r="AK137" s="10"/>
      <c r="AL137" s="10"/>
      <c r="AM137" s="10"/>
      <c r="AN137" s="10">
        <f>IF(AL136&gt;402,AN136,IF(AL136&gt;304,AN135,IF(AL136&gt;206,AN134,IF(AL136&gt;108,AN133,IF(AL136&gt;0,AN132)))))</f>
        <v>2.3411115960379112</v>
      </c>
      <c r="AO137" s="10" t="b">
        <f>IF(AL136&gt;802,AO136,IF(AL136&gt;704,AO135,IF(AL136&gt;606,AO134,IF(AL136&gt;508,AO133,IF(AL136&gt;410,AO132)))))</f>
        <v>0</v>
      </c>
      <c r="AP137" s="10" t="b">
        <f>IF(AL136&gt;1202,AP136,IF(AL136&gt;1104,AP135,IF(AL136&gt;1006,AP134,IF(AL136&gt;908,AP133,IF(AL136&gt;810,AP132)))))</f>
        <v>0</v>
      </c>
      <c r="AQ137" s="31">
        <f>IF(AL136&gt;810,AP137,IF(AL136&gt;410,AO137,IF(AL136&gt;0,AN137)))</f>
        <v>2.3411115960379112</v>
      </c>
      <c r="AR137" s="32" t="s">
        <v>697</v>
      </c>
      <c r="BP137" s="43"/>
    </row>
    <row r="138" spans="33:149" ht="16" customHeight="1">
      <c r="AQ138" s="28">
        <f>AQ137*0.67</f>
        <v>1.5685447693454007</v>
      </c>
      <c r="AR138" s="4" t="s">
        <v>698</v>
      </c>
      <c r="BB138" s="9">
        <v>45</v>
      </c>
      <c r="BC138" s="44">
        <f>LOOKUP(AZ$54,BD$5:CN$5,BD138:CN138)</f>
        <v>0</v>
      </c>
      <c r="BD138" s="44"/>
      <c r="BP138" s="43"/>
      <c r="CB138" s="125" t="str">
        <f>CONCATENATE(BB138,CP97,CQ97,CR97)</f>
        <v>45 CC IX-0.625 IY+0</v>
      </c>
    </row>
    <row r="139" spans="33:149" ht="16" customHeight="1">
      <c r="AQ139" s="28">
        <f>IF(AR10=5,AQ138,IF(AR10=6,AQ138,IF(AR10=7,AQ138,AQ137)))</f>
        <v>2.3411115960379112</v>
      </c>
      <c r="BP139" s="43"/>
    </row>
    <row r="140" spans="33:149" ht="16" customHeight="1">
      <c r="BP140" s="43"/>
    </row>
    <row r="141" spans="33:149" ht="16" customHeight="1">
      <c r="BB141" s="9">
        <v>46</v>
      </c>
      <c r="BC141" s="44">
        <f>LOOKUP(AZ$54,BD$5:CN$5,BD141:CN141)</f>
        <v>0</v>
      </c>
      <c r="BD141" s="44"/>
      <c r="BP141" s="43"/>
      <c r="CB141" s="125" t="str">
        <f>CONCATENATE(BB141,CP100,CQ100,CR100,C31*5)</f>
        <v>46 CP IPA+90 IZ+0.188 DR+ F530</v>
      </c>
    </row>
    <row r="142" spans="33:149" ht="16" customHeight="1">
      <c r="BP142" s="43"/>
    </row>
    <row r="143" spans="33:149" ht="16" customHeight="1">
      <c r="BP143" s="43"/>
    </row>
    <row r="144" spans="33:149" ht="16" customHeight="1">
      <c r="BB144" s="9">
        <v>47</v>
      </c>
      <c r="BC144" s="44">
        <f>LOOKUP(AZ$54,BD$5:CN$5,BD144:CN144)</f>
        <v>0</v>
      </c>
      <c r="BD144" s="44"/>
      <c r="BP144" s="43"/>
      <c r="CB144" s="125" t="str">
        <f>CONCATENATE(BB144,CP103,FA33,CR103,CS103,CT103)</f>
        <v>47 L IX-0.673 IY-0.625 R0</v>
      </c>
    </row>
    <row r="145" spans="54:149" ht="16" customHeight="1">
      <c r="BP145" s="43"/>
    </row>
    <row r="146" spans="54:149" ht="16" customHeight="1">
      <c r="BP146" s="43"/>
    </row>
    <row r="147" spans="54:149" ht="16" customHeight="1">
      <c r="BB147" s="9">
        <v>48</v>
      </c>
      <c r="BC147" s="44">
        <f>LOOKUP(AZ$54,BD$5:CN$5,BD147:CN147)</f>
        <v>0</v>
      </c>
      <c r="BD147" s="44"/>
      <c r="BP147" s="43"/>
      <c r="CB147" s="125" t="str">
        <f>CONCATENATE(BB147,CP106,CQ106,CR106)</f>
        <v>48 L IZ+20.124 FMAX</v>
      </c>
    </row>
    <row r="148" spans="54:149" ht="16" customHeight="1">
      <c r="BP148" s="43"/>
      <c r="ER148" s="116">
        <v>26</v>
      </c>
      <c r="ES148" s="124" t="s">
        <v>24</v>
      </c>
    </row>
    <row r="149" spans="54:149" ht="16" customHeight="1">
      <c r="BP149" s="43"/>
    </row>
    <row r="170" spans="148:149" ht="16" customHeight="1">
      <c r="ES170" s="41" t="s">
        <v>2343</v>
      </c>
    </row>
    <row r="175" spans="148:149" ht="16" customHeight="1">
      <c r="ER175" s="116">
        <v>35</v>
      </c>
      <c r="ES175" s="118" t="s">
        <v>2344</v>
      </c>
    </row>
    <row r="187" spans="148:149" ht="16" customHeight="1">
      <c r="ER187" s="116">
        <v>39</v>
      </c>
      <c r="ES187" s="166" t="s">
        <v>2345</v>
      </c>
    </row>
  </sheetData>
  <sheetProtection algorithmName="SHA-512" hashValue="XUvXlwlsrPsomWt76UhNlY6KL3nByBOb8uw/cKT/EEvUx9UOYL2qsozCEd3hHgleSbrRgfk5KZkahCrRMFgqsw==" saltValue="yTKVdXHQP2IZVgb8Jp1WeA==" spinCount="100000" sheet="1" objects="1" scenarios="1"/>
  <mergeCells count="1">
    <mergeCell ref="B2:D3"/>
  </mergeCells>
  <phoneticPr fontId="4"/>
  <conditionalFormatting sqref="C22:C27">
    <cfRule type="expression" dxfId="0" priority="1" stopIfTrue="1">
      <formula>AND(D22&gt;0)</formula>
    </cfRule>
  </conditionalFormatting>
  <hyperlinks>
    <hyperlink ref="G6" r:id="rId1" xr:uid="{00000000-0004-0000-0000-000000000000}"/>
    <hyperlink ref="G7" r:id="rId2" xr:uid="{00000000-0004-0000-0000-000001000000}"/>
    <hyperlink ref="B34" location="INFO!A1" display="INFO!A1" xr:uid="{00000000-0004-0000-0000-000002000000}"/>
  </hyperlinks>
  <pageMargins left="0" right="0" top="0" bottom="0" header="0" footer="0"/>
  <pageSetup paperSize="9" scale="72" orientation="landscape" blackAndWhite="1" horizontalDpi="4294967292" verticalDpi="4294967292"/>
  <headerFooter alignWithMargins="0"/>
  <ignoredErrors>
    <ignoredError sqref="AZ13" emptyCellReference="1"/>
    <ignoredError sqref="F39:F41"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1025" r:id="rId5" name="Nedrullningsbar listruta 1">
              <controlPr defaultSize="0" autoLine="0" autoPict="0">
                <anchor moveWithCells="1">
                  <from>
                    <xdr:col>1</xdr:col>
                    <xdr:colOff>38100</xdr:colOff>
                    <xdr:row>3</xdr:row>
                    <xdr:rowOff>177800</xdr:rowOff>
                  </from>
                  <to>
                    <xdr:col>4</xdr:col>
                    <xdr:colOff>25400</xdr:colOff>
                    <xdr:row>4</xdr:row>
                    <xdr:rowOff>190500</xdr:rowOff>
                  </to>
                </anchor>
              </controlPr>
            </control>
          </mc:Choice>
        </mc:AlternateContent>
        <mc:AlternateContent xmlns:mc="http://schemas.openxmlformats.org/markup-compatibility/2006">
          <mc:Choice Requires="x14">
            <control shapeId="1026" r:id="rId6" name="Nedrullningsbar listruta 2">
              <controlPr defaultSize="0" autoLine="0" autoPict="0">
                <anchor moveWithCells="1">
                  <from>
                    <xdr:col>1</xdr:col>
                    <xdr:colOff>38100</xdr:colOff>
                    <xdr:row>6</xdr:row>
                    <xdr:rowOff>38100</xdr:rowOff>
                  </from>
                  <to>
                    <xdr:col>4</xdr:col>
                    <xdr:colOff>25400</xdr:colOff>
                    <xdr:row>7</xdr:row>
                    <xdr:rowOff>50800</xdr:rowOff>
                  </to>
                </anchor>
              </controlPr>
            </control>
          </mc:Choice>
        </mc:AlternateContent>
        <mc:AlternateContent xmlns:mc="http://schemas.openxmlformats.org/markup-compatibility/2006">
          <mc:Choice Requires="x14">
            <control shapeId="1027" r:id="rId7" name="Nedrullningsbar listruta 3">
              <controlPr defaultSize="0" autoLine="0" autoPict="0">
                <anchor moveWithCells="1">
                  <from>
                    <xdr:col>1</xdr:col>
                    <xdr:colOff>38100</xdr:colOff>
                    <xdr:row>8</xdr:row>
                    <xdr:rowOff>101600</xdr:rowOff>
                  </from>
                  <to>
                    <xdr:col>4</xdr:col>
                    <xdr:colOff>25400</xdr:colOff>
                    <xdr:row>9</xdr:row>
                    <xdr:rowOff>114300</xdr:rowOff>
                  </to>
                </anchor>
              </controlPr>
            </control>
          </mc:Choice>
        </mc:AlternateContent>
        <mc:AlternateContent xmlns:mc="http://schemas.openxmlformats.org/markup-compatibility/2006">
          <mc:Choice Requires="x14">
            <control shapeId="1028" r:id="rId8" name="Nedrullningsbar listruta 4">
              <controlPr defaultSize="0" autoLine="0" autoPict="0">
                <anchor moveWithCells="1">
                  <from>
                    <xdr:col>1</xdr:col>
                    <xdr:colOff>38100</xdr:colOff>
                    <xdr:row>10</xdr:row>
                    <xdr:rowOff>165100</xdr:rowOff>
                  </from>
                  <to>
                    <xdr:col>4</xdr:col>
                    <xdr:colOff>12700</xdr:colOff>
                    <xdr:row>11</xdr:row>
                    <xdr:rowOff>177800</xdr:rowOff>
                  </to>
                </anchor>
              </controlPr>
            </control>
          </mc:Choice>
        </mc:AlternateContent>
        <mc:AlternateContent xmlns:mc="http://schemas.openxmlformats.org/markup-compatibility/2006">
          <mc:Choice Requires="x14">
            <control shapeId="1039" r:id="rId9" name="Nedrullningsbar listruta 15">
              <controlPr defaultSize="0" autoLine="0" autoPict="0">
                <anchor moveWithCells="1">
                  <from>
                    <xdr:col>6</xdr:col>
                    <xdr:colOff>1092200</xdr:colOff>
                    <xdr:row>12</xdr:row>
                    <xdr:rowOff>215900</xdr:rowOff>
                  </from>
                  <to>
                    <xdr:col>6</xdr:col>
                    <xdr:colOff>2705100</xdr:colOff>
                    <xdr:row>13</xdr:row>
                    <xdr:rowOff>203200</xdr:rowOff>
                  </to>
                </anchor>
              </controlPr>
            </control>
          </mc:Choice>
        </mc:AlternateContent>
        <mc:AlternateContent xmlns:mc="http://schemas.openxmlformats.org/markup-compatibility/2006">
          <mc:Choice Requires="x14">
            <control shapeId="1041" r:id="rId10" name="Nedrullningsbar listruta -1023">
              <controlPr defaultSize="0" autoLine="0" autoPict="0">
                <anchor moveWithCells="1">
                  <from>
                    <xdr:col>1</xdr:col>
                    <xdr:colOff>38100</xdr:colOff>
                    <xdr:row>18</xdr:row>
                    <xdr:rowOff>88900</xdr:rowOff>
                  </from>
                  <to>
                    <xdr:col>4</xdr:col>
                    <xdr:colOff>12700</xdr:colOff>
                    <xdr:row>19</xdr:row>
                    <xdr:rowOff>88900</xdr:rowOff>
                  </to>
                </anchor>
              </controlPr>
            </control>
          </mc:Choice>
        </mc:AlternateContent>
        <mc:AlternateContent xmlns:mc="http://schemas.openxmlformats.org/markup-compatibility/2006">
          <mc:Choice Requires="x14">
            <control shapeId="1047" r:id="rId11" name="Drop Down 23">
              <controlPr defaultSize="0" autoLine="0" autoPict="0">
                <anchor moveWithCells="1">
                  <from>
                    <xdr:col>1</xdr:col>
                    <xdr:colOff>38100</xdr:colOff>
                    <xdr:row>18</xdr:row>
                    <xdr:rowOff>101600</xdr:rowOff>
                  </from>
                  <to>
                    <xdr:col>4</xdr:col>
                    <xdr:colOff>12700</xdr:colOff>
                    <xdr:row>19</xdr:row>
                    <xdr:rowOff>101600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AK35"/>
  <sheetViews>
    <sheetView showGridLines="0" showRowColHeaders="0" zoomScale="125" zoomScaleNormal="125" zoomScalePageLayoutView="125" workbookViewId="0">
      <selection activeCell="B7" sqref="B7"/>
    </sheetView>
  </sheetViews>
  <sheetFormatPr baseColWidth="10" defaultRowHeight="13"/>
  <cols>
    <col min="1" max="1" width="6.1640625" customWidth="1"/>
    <col min="2" max="2" width="60.6640625" customWidth="1"/>
    <col min="3" max="3" width="6.1640625" customWidth="1"/>
    <col min="4" max="4" width="10.83203125" hidden="1" customWidth="1"/>
    <col min="5" max="13" width="60.6640625" hidden="1" customWidth="1"/>
    <col min="14" max="14" width="57.1640625" hidden="1" customWidth="1"/>
    <col min="15" max="26" width="60.6640625" hidden="1" customWidth="1"/>
    <col min="27" max="37" width="10.83203125" hidden="1" customWidth="1"/>
    <col min="38" max="48" width="0" hidden="1" customWidth="1"/>
  </cols>
  <sheetData>
    <row r="1" spans="1:26">
      <c r="A1" s="51"/>
      <c r="B1" s="51"/>
      <c r="C1" s="51"/>
      <c r="E1" s="130" t="s">
        <v>1872</v>
      </c>
      <c r="F1" s="36" t="s">
        <v>669</v>
      </c>
      <c r="G1" s="36" t="s">
        <v>613</v>
      </c>
      <c r="H1" s="36" t="s">
        <v>668</v>
      </c>
      <c r="I1" s="36" t="s">
        <v>614</v>
      </c>
      <c r="J1" s="36" t="s">
        <v>929</v>
      </c>
      <c r="K1" s="36" t="s">
        <v>1706</v>
      </c>
      <c r="L1" s="36" t="s">
        <v>680</v>
      </c>
      <c r="M1" s="36" t="s">
        <v>681</v>
      </c>
      <c r="N1" s="36" t="s">
        <v>1705</v>
      </c>
      <c r="O1" s="36" t="s">
        <v>678</v>
      </c>
      <c r="P1" s="36" t="s">
        <v>682</v>
      </c>
      <c r="Q1" s="36" t="s">
        <v>683</v>
      </c>
      <c r="R1" s="36" t="s">
        <v>679</v>
      </c>
      <c r="S1" s="36" t="s">
        <v>1165</v>
      </c>
      <c r="T1" s="36" t="s">
        <v>670</v>
      </c>
      <c r="U1" s="36" t="s">
        <v>835</v>
      </c>
      <c r="V1" s="36" t="s">
        <v>1388</v>
      </c>
      <c r="W1" s="89" t="s">
        <v>1519</v>
      </c>
      <c r="X1" s="36" t="s">
        <v>432</v>
      </c>
      <c r="Y1" s="100" t="s">
        <v>153</v>
      </c>
      <c r="Z1" s="36" t="s">
        <v>1638</v>
      </c>
    </row>
    <row r="2" spans="1:26">
      <c r="A2" s="51"/>
      <c r="B2" s="51"/>
      <c r="C2" s="51"/>
      <c r="E2" s="9">
        <v>1</v>
      </c>
      <c r="F2" s="9">
        <v>2</v>
      </c>
      <c r="G2" s="9">
        <v>3</v>
      </c>
      <c r="H2" s="9">
        <v>4</v>
      </c>
      <c r="I2" s="9">
        <v>5</v>
      </c>
      <c r="J2" s="9">
        <v>6</v>
      </c>
      <c r="K2" s="9">
        <v>7</v>
      </c>
      <c r="L2" s="9">
        <v>8</v>
      </c>
      <c r="M2" s="9">
        <v>9</v>
      </c>
      <c r="N2" s="9">
        <v>10</v>
      </c>
      <c r="O2" s="9">
        <v>11</v>
      </c>
      <c r="P2" s="9">
        <v>12</v>
      </c>
      <c r="Q2" s="9">
        <v>13</v>
      </c>
      <c r="R2" s="9">
        <v>14</v>
      </c>
      <c r="S2" s="9">
        <v>15</v>
      </c>
      <c r="T2" s="9">
        <v>16</v>
      </c>
      <c r="U2" s="9">
        <v>17</v>
      </c>
      <c r="V2" s="9">
        <v>18</v>
      </c>
      <c r="W2" s="9">
        <v>19</v>
      </c>
      <c r="X2" s="9">
        <v>20</v>
      </c>
      <c r="Y2" s="9">
        <v>21</v>
      </c>
      <c r="Z2" s="9">
        <v>22</v>
      </c>
    </row>
    <row r="3" spans="1:26" ht="15">
      <c r="A3" s="51"/>
      <c r="B3" s="61" t="str">
        <f>LOOKUP(CNC!H$27,E$2:Z$2,E3:Z3)</f>
        <v>¡Atención!</v>
      </c>
      <c r="C3" s="51"/>
      <c r="E3" s="131" t="s">
        <v>1936</v>
      </c>
      <c r="F3" s="66" t="s">
        <v>1050</v>
      </c>
      <c r="G3" s="55" t="s">
        <v>672</v>
      </c>
      <c r="H3" s="68" t="s">
        <v>1175</v>
      </c>
      <c r="I3" s="55" t="s">
        <v>684</v>
      </c>
      <c r="J3" s="55" t="s">
        <v>805</v>
      </c>
      <c r="K3" s="55" t="s">
        <v>1833</v>
      </c>
      <c r="L3" s="1" t="s">
        <v>450</v>
      </c>
      <c r="M3" s="1" t="s">
        <v>1182</v>
      </c>
      <c r="N3" s="55" t="s">
        <v>1850</v>
      </c>
      <c r="O3" s="68" t="s">
        <v>1500</v>
      </c>
      <c r="P3" s="68" t="s">
        <v>1050</v>
      </c>
      <c r="Q3" s="1" t="s">
        <v>375</v>
      </c>
      <c r="R3" s="1" t="s">
        <v>1328</v>
      </c>
      <c r="S3" s="1" t="s">
        <v>555</v>
      </c>
      <c r="T3" s="55" t="s">
        <v>590</v>
      </c>
      <c r="U3" s="55" t="s">
        <v>860</v>
      </c>
      <c r="V3" s="75" t="s">
        <v>511</v>
      </c>
      <c r="W3" s="90" t="s">
        <v>215</v>
      </c>
      <c r="X3" s="80" t="s">
        <v>457</v>
      </c>
      <c r="Y3" s="95" t="s">
        <v>162</v>
      </c>
      <c r="Z3" s="86" t="s">
        <v>211</v>
      </c>
    </row>
    <row r="4" spans="1:26" s="70" customFormat="1" ht="78">
      <c r="A4" s="104"/>
      <c r="B4" s="53" t="str">
        <f>LOOKUP(CNC!H$27,E$2:Z$2,E4:Z4)</f>
        <v>Las condiciones de corte que estan mencionadas son recomendadas para empezar. Hay muchos factores que pueden afectar para que uno tenga que hacer ajustes, por ejemplo la estabilidad de la maquina, herramientas etc. Hepyc no se responsabiliza de los daños que puedan ocurir cuando uno esta usando el Programa CNC y las condiciones de corte del programa.</v>
      </c>
      <c r="C4" s="104"/>
      <c r="E4" s="56" t="s">
        <v>2388</v>
      </c>
      <c r="F4" s="67" t="s">
        <v>2389</v>
      </c>
      <c r="G4" s="56" t="s">
        <v>2390</v>
      </c>
      <c r="H4" s="56" t="s">
        <v>2391</v>
      </c>
      <c r="I4" s="56" t="s">
        <v>2392</v>
      </c>
      <c r="J4" s="56" t="s">
        <v>2393</v>
      </c>
      <c r="K4" s="69" t="s">
        <v>2394</v>
      </c>
      <c r="L4" s="69" t="s">
        <v>2395</v>
      </c>
      <c r="M4" s="56" t="s">
        <v>2396</v>
      </c>
      <c r="N4" s="56" t="s">
        <v>2397</v>
      </c>
      <c r="O4" s="69" t="s">
        <v>2398</v>
      </c>
      <c r="P4" s="69" t="s">
        <v>2399</v>
      </c>
      <c r="Q4" s="56" t="s">
        <v>2400</v>
      </c>
      <c r="R4" s="56" t="s">
        <v>2401</v>
      </c>
      <c r="S4" s="69" t="s">
        <v>2402</v>
      </c>
      <c r="T4" s="56" t="s">
        <v>2403</v>
      </c>
      <c r="U4" s="56" t="s">
        <v>2404</v>
      </c>
      <c r="V4" s="102" t="s">
        <v>2405</v>
      </c>
      <c r="W4" s="105" t="s">
        <v>140</v>
      </c>
      <c r="X4" s="106" t="s">
        <v>2406</v>
      </c>
      <c r="Y4" s="96" t="s">
        <v>2407</v>
      </c>
      <c r="Z4" s="103" t="s">
        <v>2408</v>
      </c>
    </row>
    <row r="5" spans="1:26" ht="7" customHeight="1">
      <c r="A5" s="51"/>
      <c r="B5" s="51"/>
      <c r="C5" s="51"/>
      <c r="E5" s="24"/>
      <c r="F5" s="62"/>
      <c r="G5" s="9"/>
      <c r="I5" s="9"/>
      <c r="J5" s="9"/>
      <c r="O5" s="70"/>
      <c r="P5" s="70"/>
      <c r="R5" s="9"/>
      <c r="T5" s="9"/>
      <c r="U5" s="9"/>
      <c r="V5" s="76"/>
      <c r="X5" s="81"/>
      <c r="Y5" s="97"/>
      <c r="Z5" s="87"/>
    </row>
    <row r="6" spans="1:26" ht="15">
      <c r="A6" s="51"/>
      <c r="B6" s="52" t="str">
        <f>LOOKUP(CNC!H$27,E$2:Z$2,E6:Z6)</f>
        <v>¿Cómo se usa este programa?</v>
      </c>
      <c r="C6" s="51"/>
      <c r="E6" s="131" t="s">
        <v>1937</v>
      </c>
      <c r="F6" s="66" t="s">
        <v>1054</v>
      </c>
      <c r="G6" s="55" t="s">
        <v>1017</v>
      </c>
      <c r="H6" s="55" t="s">
        <v>1077</v>
      </c>
      <c r="I6" s="55" t="s">
        <v>856</v>
      </c>
      <c r="J6" s="55" t="s">
        <v>997</v>
      </c>
      <c r="K6" s="55" t="s">
        <v>1834</v>
      </c>
      <c r="L6" s="68" t="s">
        <v>308</v>
      </c>
      <c r="M6" s="55" t="s">
        <v>1185</v>
      </c>
      <c r="N6" s="55" t="s">
        <v>1851</v>
      </c>
      <c r="O6" s="71" t="s">
        <v>1269</v>
      </c>
      <c r="P6" s="71" t="s">
        <v>1540</v>
      </c>
      <c r="Q6" s="1" t="s">
        <v>318</v>
      </c>
      <c r="R6" s="55" t="s">
        <v>1458</v>
      </c>
      <c r="S6" s="1" t="s">
        <v>556</v>
      </c>
      <c r="T6" s="55" t="s">
        <v>589</v>
      </c>
      <c r="U6" s="55" t="s">
        <v>975</v>
      </c>
      <c r="V6" s="75" t="s">
        <v>464</v>
      </c>
      <c r="W6" s="90" t="s">
        <v>216</v>
      </c>
      <c r="X6" s="80" t="s">
        <v>458</v>
      </c>
      <c r="Y6" s="95" t="s">
        <v>163</v>
      </c>
      <c r="Z6" s="86" t="s">
        <v>267</v>
      </c>
    </row>
    <row r="7" spans="1:26" s="70" customFormat="1" ht="143">
      <c r="A7" s="104"/>
      <c r="B7" s="53" t="str">
        <f>LOOKUP(CNC!H$27,E$2:Z$2,E7:Z7)</f>
        <v>Elige idioma abajo en el lado derecho y después puedes elegir tus opciones en las pestañas y en los cuatro primeros cuadros. Con esta información el programa te va a ofrecer diferentes herramientas convenientes en la última pestaña. Cuando has eligido una herramienta, puedes ver la información de la herramienta, condiciones de corte y el tiempo que tarda en hacer la rosca. Además se enseña el programa CNC. Se puede copiar y pegar en otro archivo. Los últimos seis cuadros sólo se rellenan en caso de no aceptar lo recomdendado.</v>
      </c>
      <c r="C7" s="104"/>
      <c r="E7" s="56" t="s">
        <v>1950</v>
      </c>
      <c r="F7" s="67" t="s">
        <v>1196</v>
      </c>
      <c r="G7" s="56" t="s">
        <v>1003</v>
      </c>
      <c r="H7" s="56" t="s">
        <v>1126</v>
      </c>
      <c r="I7" s="56" t="s">
        <v>1058</v>
      </c>
      <c r="J7" s="56" t="s">
        <v>968</v>
      </c>
      <c r="K7" s="69" t="s">
        <v>1835</v>
      </c>
      <c r="L7" s="69" t="s">
        <v>368</v>
      </c>
      <c r="M7" s="56" t="s">
        <v>1281</v>
      </c>
      <c r="N7" s="56" t="s">
        <v>1852</v>
      </c>
      <c r="O7" s="69" t="s">
        <v>1350</v>
      </c>
      <c r="P7" s="69" t="s">
        <v>1555</v>
      </c>
      <c r="Q7" s="82" t="s">
        <v>224</v>
      </c>
      <c r="R7" s="56" t="s">
        <v>1322</v>
      </c>
      <c r="S7" s="69" t="s">
        <v>593</v>
      </c>
      <c r="T7" s="56" t="s">
        <v>130</v>
      </c>
      <c r="U7" s="56" t="s">
        <v>223</v>
      </c>
      <c r="V7" s="102" t="s">
        <v>527</v>
      </c>
      <c r="W7" s="107" t="s">
        <v>0</v>
      </c>
      <c r="X7" s="108" t="s">
        <v>1</v>
      </c>
      <c r="Y7" s="96" t="s">
        <v>34</v>
      </c>
      <c r="Z7" s="103" t="s">
        <v>108</v>
      </c>
    </row>
    <row r="8" spans="1:26" ht="14" hidden="1">
      <c r="A8" s="51"/>
      <c r="B8" s="54"/>
      <c r="C8" s="51"/>
      <c r="E8" s="24"/>
      <c r="F8" s="62"/>
      <c r="G8" s="57"/>
      <c r="I8" s="57"/>
      <c r="J8" s="57"/>
      <c r="O8" s="70"/>
      <c r="P8" s="70"/>
      <c r="R8" s="57"/>
      <c r="T8" s="57"/>
      <c r="U8" s="57"/>
      <c r="V8" s="76"/>
      <c r="X8" s="81"/>
      <c r="Y8" s="97"/>
      <c r="Z8" s="87"/>
    </row>
    <row r="9" spans="1:26" ht="15">
      <c r="A9" s="51"/>
      <c r="B9" s="52" t="str">
        <f>LOOKUP(CNC!H$27,E$2:Z$2,E9:Z9)</f>
        <v>Compensación de la herramienta</v>
      </c>
      <c r="C9" s="51"/>
      <c r="E9" s="131" t="s">
        <v>1938</v>
      </c>
      <c r="F9" s="66" t="s">
        <v>1189</v>
      </c>
      <c r="G9" s="55" t="s">
        <v>995</v>
      </c>
      <c r="H9" s="55" t="s">
        <v>1127</v>
      </c>
      <c r="I9" s="55" t="s">
        <v>912</v>
      </c>
      <c r="J9" s="55" t="s">
        <v>737</v>
      </c>
      <c r="K9" s="55" t="s">
        <v>1836</v>
      </c>
      <c r="L9" s="68" t="s">
        <v>369</v>
      </c>
      <c r="M9" s="55" t="s">
        <v>1282</v>
      </c>
      <c r="N9" s="55" t="s">
        <v>1853</v>
      </c>
      <c r="O9" s="71" t="s">
        <v>1351</v>
      </c>
      <c r="P9" s="71" t="s">
        <v>1556</v>
      </c>
      <c r="Q9" s="1" t="s">
        <v>225</v>
      </c>
      <c r="R9" s="55" t="s">
        <v>1387</v>
      </c>
      <c r="S9" s="1" t="s">
        <v>594</v>
      </c>
      <c r="T9" s="55" t="s">
        <v>510</v>
      </c>
      <c r="U9" s="55" t="s">
        <v>739</v>
      </c>
      <c r="V9" s="75" t="s">
        <v>453</v>
      </c>
      <c r="W9" s="90" t="s">
        <v>217</v>
      </c>
      <c r="X9" s="80" t="s">
        <v>459</v>
      </c>
      <c r="Y9" s="95" t="s">
        <v>164</v>
      </c>
      <c r="Z9" s="86" t="s">
        <v>134</v>
      </c>
    </row>
    <row r="10" spans="1:26" s="70" customFormat="1" ht="65">
      <c r="A10" s="104"/>
      <c r="B10" s="53" t="str">
        <f>LOOKUP(CNC!H$27,E$2:Z$2,E10:Z10)</f>
        <v>Con este programa la compensación de la herramienta sólo se usa para ajustes menores. Con esto vas a eliminar problemas que pueden ocurrir cuando uno está usando la compensación en movimientos cortos. Por eso, pon un valor cerca de cero para el diámetro de la fresa en la biblioteca del control numérico.</v>
      </c>
      <c r="C10" s="104"/>
      <c r="E10" s="56" t="s">
        <v>1939</v>
      </c>
      <c r="F10" s="67" t="s">
        <v>1137</v>
      </c>
      <c r="G10" s="56" t="s">
        <v>1005</v>
      </c>
      <c r="H10" s="56" t="s">
        <v>1318</v>
      </c>
      <c r="I10" s="56" t="s">
        <v>895</v>
      </c>
      <c r="J10" s="56" t="s">
        <v>794</v>
      </c>
      <c r="K10" s="69" t="s">
        <v>1837</v>
      </c>
      <c r="L10" s="69" t="s">
        <v>376</v>
      </c>
      <c r="M10" s="56" t="s">
        <v>1142</v>
      </c>
      <c r="N10" s="56" t="s">
        <v>1854</v>
      </c>
      <c r="O10" s="69" t="s">
        <v>1314</v>
      </c>
      <c r="P10" s="69" t="s">
        <v>1578</v>
      </c>
      <c r="Q10" s="56" t="s">
        <v>307</v>
      </c>
      <c r="R10" s="56" t="s">
        <v>1406</v>
      </c>
      <c r="S10" s="69" t="s">
        <v>687</v>
      </c>
      <c r="T10" s="56" t="s">
        <v>528</v>
      </c>
      <c r="U10" s="56" t="s">
        <v>870</v>
      </c>
      <c r="V10" s="102" t="s">
        <v>526</v>
      </c>
      <c r="W10" s="109" t="s">
        <v>46</v>
      </c>
      <c r="X10" s="108" t="s">
        <v>47</v>
      </c>
      <c r="Y10" s="96" t="s">
        <v>106</v>
      </c>
      <c r="Z10" s="103" t="s">
        <v>107</v>
      </c>
    </row>
    <row r="11" spans="1:26" ht="7" customHeight="1">
      <c r="A11" s="51"/>
      <c r="B11" s="54"/>
      <c r="C11" s="51"/>
      <c r="E11" s="24"/>
      <c r="F11" s="62"/>
      <c r="G11" s="57"/>
      <c r="I11" s="57"/>
      <c r="J11" s="57"/>
      <c r="K11" s="72"/>
      <c r="O11" s="70"/>
      <c r="P11" s="70"/>
      <c r="R11" s="57"/>
      <c r="S11" s="72"/>
      <c r="T11" s="57"/>
      <c r="U11" s="57"/>
      <c r="V11" s="76"/>
      <c r="X11" s="81"/>
      <c r="Y11" s="97"/>
      <c r="Z11" s="87"/>
    </row>
    <row r="12" spans="1:26" ht="15">
      <c r="A12" s="51"/>
      <c r="B12" s="52" t="str">
        <f>LOOKUP(CNC!H$27,E$2:Z$2,E12:Z12)</f>
        <v>Diámetro correcto de la rosca sin prueba</v>
      </c>
      <c r="C12" s="51"/>
      <c r="E12" s="131" t="s">
        <v>1940</v>
      </c>
      <c r="F12" s="66" t="s">
        <v>1134</v>
      </c>
      <c r="G12" s="55" t="s">
        <v>1006</v>
      </c>
      <c r="H12" s="55" t="s">
        <v>1319</v>
      </c>
      <c r="I12" s="55" t="s">
        <v>921</v>
      </c>
      <c r="J12" s="55" t="s">
        <v>795</v>
      </c>
      <c r="K12" s="55" t="s">
        <v>1838</v>
      </c>
      <c r="L12" s="68" t="s">
        <v>377</v>
      </c>
      <c r="M12" s="55" t="s">
        <v>1143</v>
      </c>
      <c r="N12" s="55" t="s">
        <v>1855</v>
      </c>
      <c r="O12" s="71" t="s">
        <v>1315</v>
      </c>
      <c r="P12" s="71" t="s">
        <v>1579</v>
      </c>
      <c r="Q12" s="1" t="s">
        <v>346</v>
      </c>
      <c r="R12" s="55" t="s">
        <v>1382</v>
      </c>
      <c r="S12" s="73" t="s">
        <v>688</v>
      </c>
      <c r="T12" s="55" t="s">
        <v>509</v>
      </c>
      <c r="U12" s="55" t="s">
        <v>756</v>
      </c>
      <c r="V12" s="75" t="s">
        <v>441</v>
      </c>
      <c r="W12" s="90" t="s">
        <v>127</v>
      </c>
      <c r="X12" s="80" t="s">
        <v>460</v>
      </c>
      <c r="Y12" s="95" t="s">
        <v>165</v>
      </c>
      <c r="Z12" s="86" t="s">
        <v>135</v>
      </c>
    </row>
    <row r="13" spans="1:26" s="70" customFormat="1" ht="104">
      <c r="A13" s="104"/>
      <c r="B13" s="53" t="str">
        <f>LOOKUP(CNC!H$27,E$2:Z$2,E13:Z13)</f>
        <v>El diámetro medio de las fresas de roscar de Hepyc está medido ópticamente y después se han marcado con láser el diámetro teórico de la fresa. Esta medida se debe poner en el cuadro que está al lado del diámetro del corte (cuadro 5). Es muy probable que vayas a realizar una rosca correcta directamente. Si necesitas hacer ajustes después se puede hacer en el mismo cuadro o en la biblioteca del control numérico.</v>
      </c>
      <c r="C13" s="104"/>
      <c r="E13" s="56" t="s">
        <v>2409</v>
      </c>
      <c r="F13" s="67" t="s">
        <v>2410</v>
      </c>
      <c r="G13" s="56" t="s">
        <v>2411</v>
      </c>
      <c r="H13" s="56" t="s">
        <v>2412</v>
      </c>
      <c r="I13" s="56" t="s">
        <v>2413</v>
      </c>
      <c r="J13" s="56" t="s">
        <v>2414</v>
      </c>
      <c r="K13" s="128" t="s">
        <v>2415</v>
      </c>
      <c r="L13" s="69" t="s">
        <v>2416</v>
      </c>
      <c r="M13" s="56" t="s">
        <v>2417</v>
      </c>
      <c r="N13" s="56" t="s">
        <v>2418</v>
      </c>
      <c r="O13" s="69" t="s">
        <v>2419</v>
      </c>
      <c r="P13" s="69" t="s">
        <v>2420</v>
      </c>
      <c r="Q13" s="56" t="s">
        <v>2421</v>
      </c>
      <c r="R13" s="56" t="s">
        <v>2422</v>
      </c>
      <c r="S13" s="69" t="s">
        <v>2423</v>
      </c>
      <c r="T13" s="56" t="s">
        <v>2424</v>
      </c>
      <c r="U13" s="56" t="s">
        <v>2425</v>
      </c>
      <c r="V13" s="102" t="s">
        <v>2426</v>
      </c>
      <c r="W13" s="107" t="s">
        <v>121</v>
      </c>
      <c r="X13" s="108" t="s">
        <v>2427</v>
      </c>
      <c r="Y13" s="98" t="s">
        <v>2428</v>
      </c>
      <c r="Z13" s="103" t="s">
        <v>2429</v>
      </c>
    </row>
    <row r="14" spans="1:26" ht="7" customHeight="1">
      <c r="A14" s="51"/>
      <c r="B14" s="54"/>
      <c r="C14" s="51"/>
      <c r="E14" s="24"/>
      <c r="F14" s="62"/>
      <c r="G14" s="57"/>
      <c r="I14" s="57"/>
      <c r="J14" s="57"/>
      <c r="K14" s="72"/>
      <c r="O14" s="70"/>
      <c r="P14" s="70"/>
      <c r="R14" s="57"/>
      <c r="S14" s="72"/>
      <c r="T14" s="57"/>
      <c r="U14" s="57"/>
      <c r="V14" s="76"/>
      <c r="X14" s="81"/>
      <c r="Y14" s="97"/>
      <c r="Z14" s="87"/>
    </row>
    <row r="15" spans="1:26" ht="15">
      <c r="A15" s="51"/>
      <c r="B15" s="52" t="str">
        <f>LOOKUP(CNC!H$27,E$2:Z$2,E15:Z15)</f>
        <v>Herramientas especiales</v>
      </c>
      <c r="C15" s="51"/>
      <c r="E15" s="131" t="s">
        <v>1941</v>
      </c>
      <c r="F15" s="66" t="s">
        <v>1057</v>
      </c>
      <c r="G15" s="55" t="s">
        <v>1007</v>
      </c>
      <c r="H15" s="55" t="s">
        <v>1268</v>
      </c>
      <c r="I15" s="55" t="s">
        <v>1188</v>
      </c>
      <c r="J15" s="55" t="s">
        <v>545</v>
      </c>
      <c r="K15" s="55" t="s">
        <v>1839</v>
      </c>
      <c r="L15" s="68" t="s">
        <v>336</v>
      </c>
      <c r="M15" s="55" t="s">
        <v>1153</v>
      </c>
      <c r="N15" s="55" t="s">
        <v>1856</v>
      </c>
      <c r="O15" s="71" t="s">
        <v>1371</v>
      </c>
      <c r="P15" s="71" t="s">
        <v>1580</v>
      </c>
      <c r="Q15" s="1" t="s">
        <v>335</v>
      </c>
      <c r="R15" s="55" t="s">
        <v>1591</v>
      </c>
      <c r="S15" s="73" t="s">
        <v>529</v>
      </c>
      <c r="T15" s="55" t="s">
        <v>508</v>
      </c>
      <c r="U15" s="55" t="s">
        <v>725</v>
      </c>
      <c r="V15" s="75" t="s">
        <v>480</v>
      </c>
      <c r="W15" s="90" t="s">
        <v>128</v>
      </c>
      <c r="X15" s="80" t="s">
        <v>461</v>
      </c>
      <c r="Y15" s="95" t="s">
        <v>166</v>
      </c>
      <c r="Z15" s="86" t="s">
        <v>136</v>
      </c>
    </row>
    <row r="16" spans="1:26" s="70" customFormat="1" ht="65">
      <c r="A16" s="104"/>
      <c r="B16" s="53" t="str">
        <f>LOOKUP(CNC!H$27,E$2:Z$2,E16:Z16)</f>
        <v>Si la herramienta que estás usando no está en la lista puedes rellenar el diámetro del corte, la longitud del corte y número de labios en los cuadros 5, 6 y 7.</v>
      </c>
      <c r="C16" s="104"/>
      <c r="E16" s="56" t="s">
        <v>1951</v>
      </c>
      <c r="F16" s="67" t="s">
        <v>1177</v>
      </c>
      <c r="G16" s="56" t="s">
        <v>557</v>
      </c>
      <c r="H16" s="56" t="s">
        <v>1320</v>
      </c>
      <c r="I16" s="56" t="s">
        <v>1012</v>
      </c>
      <c r="J16" s="56" t="s">
        <v>915</v>
      </c>
      <c r="K16" s="69" t="s">
        <v>1840</v>
      </c>
      <c r="L16" s="69" t="s">
        <v>319</v>
      </c>
      <c r="M16" s="56" t="s">
        <v>1144</v>
      </c>
      <c r="N16" s="56" t="s">
        <v>1857</v>
      </c>
      <c r="O16" s="69" t="s">
        <v>1372</v>
      </c>
      <c r="P16" s="69" t="s">
        <v>1495</v>
      </c>
      <c r="Q16" s="56" t="s">
        <v>246</v>
      </c>
      <c r="R16" s="56" t="s">
        <v>1377</v>
      </c>
      <c r="S16" s="69" t="s">
        <v>532</v>
      </c>
      <c r="T16" s="56" t="s">
        <v>492</v>
      </c>
      <c r="U16" s="56" t="s">
        <v>810</v>
      </c>
      <c r="V16" s="102" t="s">
        <v>496</v>
      </c>
      <c r="W16" s="107" t="s">
        <v>129</v>
      </c>
      <c r="X16" s="108" t="s">
        <v>51</v>
      </c>
      <c r="Y16" s="96" t="s">
        <v>52</v>
      </c>
      <c r="Z16" s="103" t="s">
        <v>53</v>
      </c>
    </row>
    <row r="17" spans="1:26" ht="14" hidden="1">
      <c r="A17" s="51"/>
      <c r="B17" s="54"/>
      <c r="C17" s="51"/>
      <c r="E17" s="24"/>
      <c r="F17" s="62"/>
      <c r="G17" s="57"/>
      <c r="I17" s="57"/>
      <c r="J17" s="57"/>
      <c r="K17" s="72"/>
      <c r="O17" s="70"/>
      <c r="P17" s="70"/>
      <c r="R17" s="57"/>
      <c r="S17" s="72"/>
      <c r="T17" s="57"/>
      <c r="U17" s="57"/>
      <c r="V17" s="76"/>
      <c r="X17" s="81"/>
      <c r="Y17" s="97"/>
      <c r="Z17" s="87"/>
    </row>
    <row r="18" spans="1:26" ht="15">
      <c r="A18" s="51"/>
      <c r="B18" s="52" t="str">
        <f>LOOKUP(CNC!H$27,E$2:Z$2,E18:Z18)</f>
        <v>Herramientas con uno o dos dientes (axial)</v>
      </c>
      <c r="C18" s="51"/>
      <c r="E18" s="131" t="s">
        <v>1942</v>
      </c>
      <c r="F18" s="66" t="s">
        <v>956</v>
      </c>
      <c r="G18" s="55" t="s">
        <v>917</v>
      </c>
      <c r="H18" s="55" t="s">
        <v>1321</v>
      </c>
      <c r="I18" s="55" t="s">
        <v>1186</v>
      </c>
      <c r="J18" s="55" t="s">
        <v>955</v>
      </c>
      <c r="K18" s="55" t="s">
        <v>1841</v>
      </c>
      <c r="L18" s="68" t="s">
        <v>320</v>
      </c>
      <c r="M18" s="55" t="s">
        <v>1145</v>
      </c>
      <c r="N18" s="55" t="s">
        <v>1858</v>
      </c>
      <c r="O18" s="71" t="s">
        <v>1313</v>
      </c>
      <c r="P18" s="71" t="s">
        <v>1496</v>
      </c>
      <c r="Q18" s="1" t="s">
        <v>247</v>
      </c>
      <c r="R18" s="55" t="s">
        <v>1378</v>
      </c>
      <c r="S18" s="73" t="s">
        <v>533</v>
      </c>
      <c r="T18" s="55" t="s">
        <v>507</v>
      </c>
      <c r="U18" s="55" t="s">
        <v>548</v>
      </c>
      <c r="V18" s="75" t="s">
        <v>497</v>
      </c>
      <c r="W18" s="90" t="s">
        <v>212</v>
      </c>
      <c r="X18" s="80" t="s">
        <v>520</v>
      </c>
      <c r="Y18" s="95" t="s">
        <v>131</v>
      </c>
      <c r="Z18" s="86" t="s">
        <v>137</v>
      </c>
    </row>
    <row r="19" spans="1:26" s="70" customFormat="1" ht="65">
      <c r="A19" s="104"/>
      <c r="B19" s="53" t="str">
        <f>LOOKUP(CNC!H$27,E$2:Z$2,E19:Z19)</f>
        <v>Si eliges una herramienta standard con uno o dos dientes, tipo NM, el programa va a crear automáticamente un ciclo que hace una espiral hasta que la rosca esté terminada. Si quieres hacer un ciclo parecido con otra herramienta, pon el paso como la longitud del corte en cuadro 6.</v>
      </c>
      <c r="C19" s="104"/>
      <c r="E19" s="56" t="s">
        <v>1943</v>
      </c>
      <c r="F19" s="67" t="s">
        <v>1141</v>
      </c>
      <c r="G19" s="56" t="s">
        <v>606</v>
      </c>
      <c r="H19" s="56" t="s">
        <v>1190</v>
      </c>
      <c r="I19" s="56" t="s">
        <v>709</v>
      </c>
      <c r="J19" s="56" t="s">
        <v>675</v>
      </c>
      <c r="K19" s="128" t="s">
        <v>1842</v>
      </c>
      <c r="L19" s="69" t="s">
        <v>303</v>
      </c>
      <c r="M19" s="56" t="s">
        <v>2430</v>
      </c>
      <c r="N19" s="56" t="s">
        <v>1859</v>
      </c>
      <c r="O19" s="69" t="s">
        <v>1261</v>
      </c>
      <c r="P19" s="69" t="s">
        <v>1678</v>
      </c>
      <c r="Q19" s="56" t="s">
        <v>248</v>
      </c>
      <c r="R19" s="56" t="s">
        <v>1373</v>
      </c>
      <c r="S19" s="69" t="s">
        <v>535</v>
      </c>
      <c r="T19" s="56" t="s">
        <v>410</v>
      </c>
      <c r="U19" s="56" t="s">
        <v>823</v>
      </c>
      <c r="V19" s="102" t="s">
        <v>415</v>
      </c>
      <c r="W19" s="107" t="s">
        <v>48</v>
      </c>
      <c r="X19" s="108" t="s">
        <v>55</v>
      </c>
      <c r="Y19" s="96" t="s">
        <v>56</v>
      </c>
      <c r="Z19" s="103" t="s">
        <v>25</v>
      </c>
    </row>
    <row r="20" spans="1:26" ht="7" customHeight="1">
      <c r="A20" s="51"/>
      <c r="B20" s="54"/>
      <c r="C20" s="51"/>
      <c r="E20" s="24"/>
      <c r="F20" s="62"/>
      <c r="G20" s="57"/>
      <c r="I20" s="57"/>
      <c r="J20" s="57"/>
      <c r="K20" s="72"/>
      <c r="O20" s="70"/>
      <c r="P20" s="70"/>
      <c r="R20" s="57"/>
      <c r="S20" s="72"/>
      <c r="T20" s="57"/>
      <c r="U20" s="57"/>
      <c r="V20" s="76"/>
      <c r="X20" s="81"/>
      <c r="Y20" s="97"/>
      <c r="Z20" s="87"/>
    </row>
    <row r="21" spans="1:26" ht="15">
      <c r="A21" s="51"/>
      <c r="B21" s="52" t="str">
        <f>LOOKUP(CNC!H$27,E$2:Z$2,E21:Z21)</f>
        <v>Herramientas con cinturón</v>
      </c>
      <c r="C21" s="51"/>
      <c r="E21" s="131" t="s">
        <v>1944</v>
      </c>
      <c r="F21" s="66" t="s">
        <v>1083</v>
      </c>
      <c r="G21" s="55" t="s">
        <v>918</v>
      </c>
      <c r="H21" s="55" t="s">
        <v>1191</v>
      </c>
      <c r="I21" s="55" t="s">
        <v>1187</v>
      </c>
      <c r="J21" s="55" t="s">
        <v>1052</v>
      </c>
      <c r="K21" s="55" t="s">
        <v>1843</v>
      </c>
      <c r="L21" s="1" t="s">
        <v>304</v>
      </c>
      <c r="M21" s="55" t="s">
        <v>1274</v>
      </c>
      <c r="N21" s="55" t="s">
        <v>1860</v>
      </c>
      <c r="O21" s="71" t="s">
        <v>1262</v>
      </c>
      <c r="P21" s="71" t="s">
        <v>1581</v>
      </c>
      <c r="Q21" s="1" t="s">
        <v>249</v>
      </c>
      <c r="R21" s="55" t="s">
        <v>1374</v>
      </c>
      <c r="S21" s="73" t="s">
        <v>625</v>
      </c>
      <c r="T21" s="55" t="s">
        <v>506</v>
      </c>
      <c r="U21" s="55" t="s">
        <v>777</v>
      </c>
      <c r="V21" s="75" t="s">
        <v>416</v>
      </c>
      <c r="W21" s="91" t="s">
        <v>213</v>
      </c>
      <c r="X21" s="80" t="s">
        <v>451</v>
      </c>
      <c r="Y21" s="95" t="s">
        <v>132</v>
      </c>
      <c r="Z21" s="86" t="s">
        <v>92</v>
      </c>
    </row>
    <row r="22" spans="1:26" s="70" customFormat="1" ht="39">
      <c r="A22" s="104"/>
      <c r="B22" s="53" t="str">
        <f>LOOKUP(CNC!H$27,E$2:Z$2,E22:Z22)</f>
        <v>Si la herramienta tiene una longitud de corte más corta que la longitud de la rosca, el programa automáticamente va a hacer la rosca en suficientes pasadas axiales.</v>
      </c>
      <c r="C22" s="104"/>
      <c r="E22" s="56" t="s">
        <v>1945</v>
      </c>
      <c r="F22" s="67" t="s">
        <v>1124</v>
      </c>
      <c r="G22" s="56" t="s">
        <v>674</v>
      </c>
      <c r="H22" s="56" t="s">
        <v>1135</v>
      </c>
      <c r="I22" s="56" t="s">
        <v>996</v>
      </c>
      <c r="J22" s="56" t="s">
        <v>1031</v>
      </c>
      <c r="K22" s="69" t="s">
        <v>1844</v>
      </c>
      <c r="L22" s="110" t="s">
        <v>332</v>
      </c>
      <c r="M22" s="56" t="s">
        <v>1294</v>
      </c>
      <c r="N22" s="56" t="s">
        <v>1861</v>
      </c>
      <c r="O22" s="69" t="s">
        <v>1263</v>
      </c>
      <c r="P22" s="69" t="s">
        <v>1590</v>
      </c>
      <c r="Q22" s="56" t="s">
        <v>250</v>
      </c>
      <c r="R22" s="56" t="s">
        <v>1444</v>
      </c>
      <c r="S22" s="69" t="s">
        <v>626</v>
      </c>
      <c r="T22" s="56" t="s">
        <v>543</v>
      </c>
      <c r="U22" s="56" t="s">
        <v>957</v>
      </c>
      <c r="V22" s="102" t="s">
        <v>539</v>
      </c>
      <c r="W22" s="111" t="s">
        <v>50</v>
      </c>
      <c r="X22" s="108" t="s">
        <v>57</v>
      </c>
      <c r="Y22" s="96" t="s">
        <v>138</v>
      </c>
      <c r="Z22" s="103" t="s">
        <v>139</v>
      </c>
    </row>
    <row r="23" spans="1:26" ht="14" hidden="1">
      <c r="A23" s="51"/>
      <c r="B23" s="54"/>
      <c r="C23" s="51"/>
      <c r="E23" s="24"/>
      <c r="F23" s="62"/>
      <c r="G23" s="57"/>
      <c r="I23" s="57"/>
      <c r="J23" s="57"/>
      <c r="K23" s="72"/>
      <c r="O23" s="70"/>
      <c r="P23" s="70"/>
      <c r="R23" s="57"/>
      <c r="S23" s="72"/>
      <c r="T23" s="57"/>
      <c r="U23" s="57"/>
      <c r="V23" s="76"/>
      <c r="X23" s="81"/>
      <c r="Y23" s="97"/>
      <c r="Z23" s="87"/>
    </row>
    <row r="24" spans="1:26" ht="30">
      <c r="A24" s="51"/>
      <c r="B24" s="52" t="str">
        <f>LOOKUP(CNC!H$27,E$2:Z$2,E24:Z24)</f>
        <v>Herramientas con plaquitas</v>
      </c>
      <c r="C24" s="51"/>
      <c r="E24" s="131" t="s">
        <v>1946</v>
      </c>
      <c r="F24" s="66" t="s">
        <v>1125</v>
      </c>
      <c r="G24" s="55" t="s">
        <v>940</v>
      </c>
      <c r="H24" s="55" t="s">
        <v>1242</v>
      </c>
      <c r="I24" s="55" t="s">
        <v>817</v>
      </c>
      <c r="J24" s="55" t="s">
        <v>769</v>
      </c>
      <c r="K24" s="55" t="s">
        <v>1845</v>
      </c>
      <c r="L24" s="1" t="s">
        <v>333</v>
      </c>
      <c r="M24" s="55" t="s">
        <v>1316</v>
      </c>
      <c r="N24" s="55" t="s">
        <v>1862</v>
      </c>
      <c r="O24" s="71" t="s">
        <v>1264</v>
      </c>
      <c r="P24" s="71" t="s">
        <v>1629</v>
      </c>
      <c r="Q24" s="1" t="s">
        <v>251</v>
      </c>
      <c r="R24" s="55" t="s">
        <v>1445</v>
      </c>
      <c r="S24" s="73" t="s">
        <v>536</v>
      </c>
      <c r="T24" s="55" t="s">
        <v>505</v>
      </c>
      <c r="U24" s="55" t="s">
        <v>853</v>
      </c>
      <c r="V24" s="75" t="s">
        <v>540</v>
      </c>
      <c r="W24" s="90" t="s">
        <v>214</v>
      </c>
      <c r="X24" s="80" t="s">
        <v>386</v>
      </c>
      <c r="Y24" s="95" t="s">
        <v>133</v>
      </c>
      <c r="Z24" s="86" t="s">
        <v>93</v>
      </c>
    </row>
    <row r="25" spans="1:26" s="70" customFormat="1" ht="78">
      <c r="A25" s="104"/>
      <c r="B25" s="53" t="str">
        <f>LOOKUP(CNC!H$27,E$2:Z$2,E25:Z25)</f>
        <v>Pon el diámetro del corte del cuerpo en cuadro 5, pon la longitud del corte de la plaquita en cuadro 6 y pon número de labios en cuadro 7. Si es necesario el programa va a hacer automáticamente la rosca en varias pasadas axiales.</v>
      </c>
      <c r="C25" s="104"/>
      <c r="E25" s="56" t="s">
        <v>1952</v>
      </c>
      <c r="F25" s="67" t="s">
        <v>1001</v>
      </c>
      <c r="G25" s="56" t="s">
        <v>544</v>
      </c>
      <c r="H25" s="56" t="s">
        <v>1112</v>
      </c>
      <c r="I25" s="56" t="s">
        <v>984</v>
      </c>
      <c r="J25" s="56" t="s">
        <v>1032</v>
      </c>
      <c r="K25" s="69" t="s">
        <v>1846</v>
      </c>
      <c r="L25" s="69" t="s">
        <v>305</v>
      </c>
      <c r="M25" s="56" t="s">
        <v>1363</v>
      </c>
      <c r="N25" s="56" t="s">
        <v>1863</v>
      </c>
      <c r="O25" s="69" t="s">
        <v>1521</v>
      </c>
      <c r="P25" s="69" t="s">
        <v>1679</v>
      </c>
      <c r="Q25" s="56" t="s">
        <v>298</v>
      </c>
      <c r="R25" s="56" t="s">
        <v>1271</v>
      </c>
      <c r="S25" s="69" t="s">
        <v>517</v>
      </c>
      <c r="T25" s="56" t="s">
        <v>502</v>
      </c>
      <c r="U25" s="56" t="s">
        <v>649</v>
      </c>
      <c r="V25" s="102" t="s">
        <v>541</v>
      </c>
      <c r="W25" s="107" t="s">
        <v>58</v>
      </c>
      <c r="X25" s="108" t="s">
        <v>59</v>
      </c>
      <c r="Y25" s="96" t="s">
        <v>60</v>
      </c>
      <c r="Z25" s="103" t="s">
        <v>61</v>
      </c>
    </row>
    <row r="26" spans="1:26" ht="14" hidden="1">
      <c r="A26" s="51"/>
      <c r="B26" s="54"/>
      <c r="C26" s="51"/>
      <c r="E26" s="24"/>
      <c r="F26" s="62"/>
      <c r="G26" s="57"/>
      <c r="I26" s="57"/>
      <c r="J26" s="57"/>
      <c r="K26" s="72"/>
      <c r="O26" s="70"/>
      <c r="P26" s="70"/>
      <c r="R26" s="57"/>
      <c r="S26" s="72"/>
      <c r="T26" s="57"/>
      <c r="U26" s="57"/>
      <c r="V26" s="76"/>
      <c r="X26" s="81"/>
      <c r="Y26" s="97"/>
      <c r="Z26" s="87"/>
    </row>
    <row r="27" spans="1:26" ht="15">
      <c r="A27" s="51"/>
      <c r="B27" s="52" t="str">
        <f>LOOKUP(CNC!H$27,E$2:Z$2,E27:Z27)</f>
        <v>Roscas cónicas</v>
      </c>
      <c r="C27" s="51"/>
      <c r="E27" s="131" t="s">
        <v>1947</v>
      </c>
      <c r="F27" s="66" t="s">
        <v>1002</v>
      </c>
      <c r="G27" s="55" t="s">
        <v>998</v>
      </c>
      <c r="H27" s="55" t="s">
        <v>1245</v>
      </c>
      <c r="I27" s="55" t="s">
        <v>985</v>
      </c>
      <c r="J27" s="55" t="s">
        <v>800</v>
      </c>
      <c r="K27" s="55" t="s">
        <v>1847</v>
      </c>
      <c r="L27" s="68" t="s">
        <v>306</v>
      </c>
      <c r="M27" s="55" t="s">
        <v>1364</v>
      </c>
      <c r="N27" s="55" t="s">
        <v>1864</v>
      </c>
      <c r="O27" s="71" t="s">
        <v>1412</v>
      </c>
      <c r="P27" s="71" t="s">
        <v>1630</v>
      </c>
      <c r="Q27" s="1" t="s">
        <v>299</v>
      </c>
      <c r="R27" s="55" t="s">
        <v>1622</v>
      </c>
      <c r="S27" s="73" t="s">
        <v>537</v>
      </c>
      <c r="T27" s="55" t="s">
        <v>504</v>
      </c>
      <c r="U27" s="55" t="s">
        <v>650</v>
      </c>
      <c r="V27" s="75" t="s">
        <v>542</v>
      </c>
      <c r="W27" s="90" t="s">
        <v>201</v>
      </c>
      <c r="X27" s="80" t="s">
        <v>452</v>
      </c>
      <c r="Y27" s="95" t="s">
        <v>152</v>
      </c>
      <c r="Z27" s="86" t="s">
        <v>94</v>
      </c>
    </row>
    <row r="28" spans="1:26" s="70" customFormat="1" ht="39">
      <c r="A28" s="104"/>
      <c r="B28" s="53" t="str">
        <f>LOOKUP(CNC!H$27,E$2:Z$2,E28:Z28)</f>
        <v>El diámetro del corte será el diente que está más cerca del mango. Por eso,  el diámetro de la rosca debe estar al mismo nivel del diente empleado para el diámetro del corte.</v>
      </c>
      <c r="C28" s="104"/>
      <c r="E28" s="56" t="s">
        <v>1948</v>
      </c>
      <c r="F28" s="67" t="s">
        <v>1202</v>
      </c>
      <c r="G28" s="56" t="s">
        <v>851</v>
      </c>
      <c r="H28" s="56" t="s">
        <v>1163</v>
      </c>
      <c r="I28" s="56" t="s">
        <v>673</v>
      </c>
      <c r="J28" s="56" t="s">
        <v>1016</v>
      </c>
      <c r="K28" s="69" t="s">
        <v>1848</v>
      </c>
      <c r="L28" s="69" t="s">
        <v>347</v>
      </c>
      <c r="M28" s="56" t="s">
        <v>1246</v>
      </c>
      <c r="N28" s="56" t="s">
        <v>1865</v>
      </c>
      <c r="O28" s="69" t="s">
        <v>1498</v>
      </c>
      <c r="P28" s="69" t="s">
        <v>1577</v>
      </c>
      <c r="Q28" s="56" t="s">
        <v>300</v>
      </c>
      <c r="R28" s="56" t="s">
        <v>1522</v>
      </c>
      <c r="S28" s="69" t="s">
        <v>433</v>
      </c>
      <c r="T28" s="56" t="s">
        <v>54</v>
      </c>
      <c r="U28" s="56" t="s">
        <v>671</v>
      </c>
      <c r="V28" s="102" t="s">
        <v>430</v>
      </c>
      <c r="W28" s="109" t="s">
        <v>202</v>
      </c>
      <c r="X28" s="108" t="s">
        <v>63</v>
      </c>
      <c r="Y28" s="96" t="s">
        <v>62</v>
      </c>
      <c r="Z28" s="103" t="s">
        <v>26</v>
      </c>
    </row>
    <row r="29" spans="1:26" ht="3" hidden="1" customHeight="1">
      <c r="A29" s="51"/>
      <c r="B29" s="51"/>
      <c r="C29" s="51"/>
      <c r="E29" s="24"/>
      <c r="F29" s="62"/>
      <c r="O29" s="34"/>
      <c r="P29" s="34"/>
      <c r="S29" s="72"/>
      <c r="T29" s="50"/>
      <c r="U29" s="50"/>
      <c r="V29" s="76"/>
      <c r="X29" s="81"/>
      <c r="Y29" s="97"/>
      <c r="Z29" s="87"/>
    </row>
    <row r="30" spans="1:26" s="70" customFormat="1" ht="14">
      <c r="A30" s="104"/>
      <c r="B30" s="112" t="str">
        <f>LOOKUP(CNC!H$27,E$2:Z$2,E30:Z30)</f>
        <v>volver</v>
      </c>
      <c r="C30" s="104"/>
      <c r="E30" s="50" t="s">
        <v>1949</v>
      </c>
      <c r="F30" s="113" t="s">
        <v>1203</v>
      </c>
      <c r="G30" s="114" t="s">
        <v>852</v>
      </c>
      <c r="H30" s="114" t="s">
        <v>1164</v>
      </c>
      <c r="I30" s="114" t="s">
        <v>858</v>
      </c>
      <c r="J30" s="114" t="s">
        <v>857</v>
      </c>
      <c r="K30" s="70" t="s">
        <v>1849</v>
      </c>
      <c r="L30" s="70" t="s">
        <v>348</v>
      </c>
      <c r="M30" s="114" t="s">
        <v>1247</v>
      </c>
      <c r="N30" t="s">
        <v>1866</v>
      </c>
      <c r="O30" s="70" t="s">
        <v>1499</v>
      </c>
      <c r="P30" s="70" t="s">
        <v>1203</v>
      </c>
      <c r="Q30" s="70" t="s">
        <v>301</v>
      </c>
      <c r="R30" s="70" t="s">
        <v>1523</v>
      </c>
      <c r="S30" s="69" t="s">
        <v>434</v>
      </c>
      <c r="T30" s="114" t="s">
        <v>503</v>
      </c>
      <c r="U30" s="114" t="s">
        <v>787</v>
      </c>
      <c r="V30" s="102" t="s">
        <v>431</v>
      </c>
      <c r="W30" s="111" t="s">
        <v>203</v>
      </c>
      <c r="X30" s="108" t="s">
        <v>27</v>
      </c>
      <c r="Y30" s="99" t="s">
        <v>64</v>
      </c>
      <c r="Z30" s="103" t="s">
        <v>65</v>
      </c>
    </row>
    <row r="31" spans="1:26">
      <c r="A31" s="51"/>
      <c r="B31" s="51"/>
      <c r="C31" s="51"/>
      <c r="S31" s="50"/>
      <c r="T31" s="50"/>
      <c r="U31" s="50"/>
      <c r="V31" s="50"/>
      <c r="W31" s="50"/>
      <c r="X31" s="50"/>
      <c r="Y31" s="50"/>
      <c r="Z31" s="50"/>
    </row>
    <row r="33" spans="25:25">
      <c r="Y33" s="36"/>
    </row>
    <row r="35" spans="25:25">
      <c r="Y35" s="9"/>
    </row>
  </sheetData>
  <sheetProtection algorithmName="SHA-512" hashValue="589mXJ838Oj8kYrWMU6nmbuS6IX+9qL+p5aa3WTTITpYGFOVz1dRVJSTxiBDKo6TpZZbE93rH62HJXGwfai5iw==" saltValue="yXG7+pLRwV6+x0IgtqjIkA==" spinCount="100000" sheet="1" objects="1" scenarios="1"/>
  <phoneticPr fontId="4"/>
  <hyperlinks>
    <hyperlink ref="B30" location="CNC!C14" display="CNC!C14" xr:uid="{00000000-0004-0000-0100-000000000000}"/>
  </hyperlinks>
  <pageMargins left="0" right="0" top="0" bottom="0" header="0" footer="0"/>
  <pageSetup paperSize="9" orientation="portrait" blackAndWhite="1"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88"/>
  <sheetViews>
    <sheetView showGridLines="0" showRowColHeaders="0" topLeftCell="AD1" workbookViewId="0">
      <pane ySplit="1" topLeftCell="A2" activePane="bottomLeft" state="frozen"/>
      <selection pane="bottomLeft" activeCell="AF15" sqref="AF15"/>
    </sheetView>
  </sheetViews>
  <sheetFormatPr baseColWidth="10" defaultRowHeight="17" customHeight="1"/>
  <cols>
    <col min="1" max="4" width="10.1640625" hidden="1" customWidth="1"/>
    <col min="5" max="5" width="22.33203125" hidden="1" customWidth="1"/>
    <col min="6" max="20" width="10.1640625" hidden="1" customWidth="1"/>
    <col min="21" max="21" width="22.33203125" hidden="1" customWidth="1"/>
    <col min="22" max="22" width="10.1640625" hidden="1" customWidth="1"/>
    <col min="23" max="23" width="22.33203125" hidden="1" customWidth="1"/>
    <col min="24" max="29" width="0" hidden="1" customWidth="1"/>
  </cols>
  <sheetData>
    <row r="1" spans="1:23" ht="17" customHeight="1">
      <c r="A1" s="3" t="s">
        <v>703</v>
      </c>
      <c r="B1" s="3" t="s">
        <v>559</v>
      </c>
      <c r="C1" s="3" t="s">
        <v>866</v>
      </c>
      <c r="D1" s="3" t="s">
        <v>935</v>
      </c>
      <c r="E1" s="132" t="s">
        <v>831</v>
      </c>
      <c r="F1" s="2" t="s">
        <v>832</v>
      </c>
      <c r="G1" s="2" t="s">
        <v>833</v>
      </c>
      <c r="H1" s="2" t="s">
        <v>834</v>
      </c>
      <c r="I1" s="2" t="s">
        <v>888</v>
      </c>
      <c r="J1" s="2" t="s">
        <v>889</v>
      </c>
      <c r="K1" s="2" t="s">
        <v>890</v>
      </c>
      <c r="L1" s="2" t="s">
        <v>961</v>
      </c>
      <c r="M1" s="58" t="s">
        <v>891</v>
      </c>
      <c r="N1" s="37" t="s">
        <v>961</v>
      </c>
      <c r="O1" s="36" t="s">
        <v>778</v>
      </c>
      <c r="P1" s="36" t="s">
        <v>806</v>
      </c>
      <c r="Q1" s="36" t="s">
        <v>807</v>
      </c>
      <c r="R1" s="36" t="s">
        <v>962</v>
      </c>
      <c r="W1" s="36" t="s">
        <v>963</v>
      </c>
    </row>
    <row r="2" spans="1:23" ht="17" customHeight="1">
      <c r="A2" s="4">
        <v>1</v>
      </c>
      <c r="B2" s="162">
        <v>7</v>
      </c>
      <c r="C2" s="162">
        <v>1</v>
      </c>
      <c r="D2" s="162">
        <v>3</v>
      </c>
      <c r="E2" s="133" t="s">
        <v>1953</v>
      </c>
      <c r="F2" s="133">
        <v>16</v>
      </c>
      <c r="G2" s="133">
        <v>16</v>
      </c>
      <c r="H2" s="133">
        <v>4</v>
      </c>
      <c r="I2" s="133">
        <v>11</v>
      </c>
      <c r="J2" s="133">
        <v>40.409999999999997</v>
      </c>
      <c r="K2" s="133">
        <v>100</v>
      </c>
      <c r="L2" s="133">
        <v>20.5</v>
      </c>
      <c r="M2" s="163">
        <v>484</v>
      </c>
      <c r="N2" s="38" t="b">
        <f>IF(CNC!C$14&gt;=L2,A2)</f>
        <v>0</v>
      </c>
      <c r="O2" s="25" t="b">
        <f>IF(CNC!C$15=I2,A2)</f>
        <v>0</v>
      </c>
      <c r="P2" s="25">
        <f>IF(CNC!C$16&lt;=J2,A2)</f>
        <v>1</v>
      </c>
      <c r="Q2" s="25" t="b">
        <f>IF(D2=CNC!AR$10,A2)</f>
        <v>0</v>
      </c>
      <c r="R2" s="25" t="b">
        <f t="shared" ref="R2:R65" si="0">IF(N2=FALSE,FALSE,IF(O2=FALSE,FALSE,IF(P2=FALSE,FALSE,IF(Q2=FALSE,FALSE,A2))))</f>
        <v>0</v>
      </c>
      <c r="S2">
        <f>LOOKUP(9999,R$2:R$488)</f>
        <v>391</v>
      </c>
      <c r="T2" s="24">
        <f>S2-1</f>
        <v>390</v>
      </c>
      <c r="U2" t="str">
        <f>LOOKUP(S2,A$2:A$488,E$2:E$488)</f>
        <v>NB08075C21_1.5ISO_AC</v>
      </c>
      <c r="V2" t="b">
        <f t="shared" ref="V2:V25" si="1">ISNA(U2)</f>
        <v>0</v>
      </c>
      <c r="W2" t="str">
        <f t="shared" ref="W2:W25" si="2">IF(V2=FALSE,U2,"")</f>
        <v>NB08075C21_1.5ISO_AC</v>
      </c>
    </row>
    <row r="3" spans="1:23" ht="17" customHeight="1">
      <c r="A3" s="4">
        <v>2</v>
      </c>
      <c r="B3" s="162">
        <v>7</v>
      </c>
      <c r="C3" s="162">
        <v>1</v>
      </c>
      <c r="D3" s="162">
        <v>3</v>
      </c>
      <c r="E3" s="133" t="s">
        <v>1954</v>
      </c>
      <c r="F3" s="133">
        <v>12</v>
      </c>
      <c r="G3" s="133">
        <v>12</v>
      </c>
      <c r="H3" s="133">
        <v>4</v>
      </c>
      <c r="I3" s="133">
        <v>14</v>
      </c>
      <c r="J3" s="133">
        <v>28.12</v>
      </c>
      <c r="K3" s="133">
        <v>100</v>
      </c>
      <c r="L3" s="133">
        <v>15.5</v>
      </c>
      <c r="M3" s="163">
        <v>370.3</v>
      </c>
      <c r="N3" s="38" t="b">
        <f>IF(CNC!C$14&gt;=L3,A3)</f>
        <v>0</v>
      </c>
      <c r="O3" s="25" t="b">
        <f>IF(CNC!C$15=I3,A3)</f>
        <v>0</v>
      </c>
      <c r="P3" s="25">
        <f>IF(CNC!C$16&lt;=J3,A3)</f>
        <v>2</v>
      </c>
      <c r="Q3" s="25" t="b">
        <f>IF(D3=CNC!AR$10,A3)</f>
        <v>0</v>
      </c>
      <c r="R3" s="25" t="b">
        <f t="shared" si="0"/>
        <v>0</v>
      </c>
      <c r="S3">
        <f>LOOKUP(T2,R$2:R$488)</f>
        <v>390</v>
      </c>
      <c r="T3" s="24">
        <f>S3-1</f>
        <v>389</v>
      </c>
      <c r="U3" t="str">
        <f>LOOKUP(S3,A$2:A$488,E$2:E$488)</f>
        <v>NB08075C27_1.5ISO_AC</v>
      </c>
      <c r="V3" t="b">
        <f t="shared" si="1"/>
        <v>0</v>
      </c>
      <c r="W3" t="str">
        <f t="shared" si="2"/>
        <v>NB08075C27_1.5ISO_AC</v>
      </c>
    </row>
    <row r="4" spans="1:23" ht="17" customHeight="1">
      <c r="A4" s="4">
        <v>3</v>
      </c>
      <c r="B4" s="162">
        <v>7</v>
      </c>
      <c r="C4" s="162">
        <v>1</v>
      </c>
      <c r="D4" s="162">
        <v>3</v>
      </c>
      <c r="E4" s="133" t="s">
        <v>1955</v>
      </c>
      <c r="F4" s="133">
        <v>10</v>
      </c>
      <c r="G4" s="133">
        <v>10</v>
      </c>
      <c r="H4" s="133">
        <v>4</v>
      </c>
      <c r="I4" s="133">
        <v>19</v>
      </c>
      <c r="J4" s="133">
        <v>22.06</v>
      </c>
      <c r="K4" s="133">
        <v>100</v>
      </c>
      <c r="L4" s="133">
        <v>12.7</v>
      </c>
      <c r="M4" s="163">
        <v>286.60000000000002</v>
      </c>
      <c r="N4" s="38" t="b">
        <f>IF(CNC!C$14&gt;=L4,A4)</f>
        <v>0</v>
      </c>
      <c r="O4" s="25" t="b">
        <f>IF(CNC!C$15=I4,A4)</f>
        <v>0</v>
      </c>
      <c r="P4" s="25">
        <f>IF(CNC!C$16&lt;=J4,A4)</f>
        <v>3</v>
      </c>
      <c r="Q4" s="25" t="b">
        <f>IF(D4=CNC!AR$10,A4)</f>
        <v>0</v>
      </c>
      <c r="R4" s="25" t="b">
        <f t="shared" si="0"/>
        <v>0</v>
      </c>
      <c r="S4">
        <f t="shared" ref="S4:S30" si="3">LOOKUP(T3,R$2:R$488)</f>
        <v>389</v>
      </c>
      <c r="T4" s="24">
        <f t="shared" ref="T4:T25" si="4">S4-1</f>
        <v>388</v>
      </c>
      <c r="U4" t="str">
        <f t="shared" ref="U4:U25" si="5">LOOKUP(S4,A$2:A$488,E$2:E$488)</f>
        <v>NB08075C32_1.5ISO_AC</v>
      </c>
      <c r="V4" t="b">
        <f t="shared" si="1"/>
        <v>0</v>
      </c>
      <c r="W4" t="str">
        <f t="shared" si="2"/>
        <v>NB08075C32_1.5ISO_AC</v>
      </c>
    </row>
    <row r="5" spans="1:23" ht="17" customHeight="1">
      <c r="A5" s="4">
        <v>4</v>
      </c>
      <c r="B5" s="162">
        <v>7</v>
      </c>
      <c r="C5" s="162">
        <v>1</v>
      </c>
      <c r="D5" s="162">
        <v>3</v>
      </c>
      <c r="E5" s="133" t="s">
        <v>1956</v>
      </c>
      <c r="F5" s="133">
        <v>6</v>
      </c>
      <c r="G5" s="133">
        <v>6</v>
      </c>
      <c r="H5" s="133">
        <v>3</v>
      </c>
      <c r="I5" s="133">
        <v>28</v>
      </c>
      <c r="J5" s="133">
        <v>10.43</v>
      </c>
      <c r="K5" s="133">
        <v>76</v>
      </c>
      <c r="L5" s="133">
        <v>7.8</v>
      </c>
      <c r="M5" s="163">
        <v>178.1</v>
      </c>
      <c r="N5" s="38">
        <f>IF(CNC!C$14&gt;=L5,A5)</f>
        <v>4</v>
      </c>
      <c r="O5" s="25" t="b">
        <f>IF(CNC!C$15=I5,A5)</f>
        <v>0</v>
      </c>
      <c r="P5" s="25" t="b">
        <f>IF(CNC!C$16&lt;=J5,A5)</f>
        <v>0</v>
      </c>
      <c r="Q5" s="25" t="b">
        <f>IF(D5=CNC!AR$10,A5)</f>
        <v>0</v>
      </c>
      <c r="R5" s="25" t="b">
        <f t="shared" si="0"/>
        <v>0</v>
      </c>
      <c r="S5">
        <f t="shared" si="3"/>
        <v>291</v>
      </c>
      <c r="T5" s="24">
        <f t="shared" si="4"/>
        <v>290</v>
      </c>
      <c r="U5" t="str">
        <f t="shared" si="5"/>
        <v>NBK08075C21_1.5ISO_AC</v>
      </c>
      <c r="V5" t="b">
        <f t="shared" si="1"/>
        <v>0</v>
      </c>
      <c r="W5" t="str">
        <f t="shared" si="2"/>
        <v>NBK08075C21_1.5ISO_AC</v>
      </c>
    </row>
    <row r="6" spans="1:23" ht="17" customHeight="1">
      <c r="A6" s="4">
        <v>5</v>
      </c>
      <c r="B6" s="162">
        <v>1</v>
      </c>
      <c r="C6" s="162">
        <v>1</v>
      </c>
      <c r="D6" s="162">
        <v>3</v>
      </c>
      <c r="E6" s="133" t="s">
        <v>1957</v>
      </c>
      <c r="F6" s="133">
        <v>20</v>
      </c>
      <c r="G6" s="133">
        <v>20</v>
      </c>
      <c r="H6" s="133">
        <v>5</v>
      </c>
      <c r="I6" s="133">
        <v>11</v>
      </c>
      <c r="J6" s="133">
        <v>49.65</v>
      </c>
      <c r="K6" s="133">
        <v>120</v>
      </c>
      <c r="L6" s="133">
        <v>25</v>
      </c>
      <c r="M6" s="163">
        <v>516</v>
      </c>
      <c r="N6" s="38" t="b">
        <f>IF(CNC!C$14&gt;=L6,A6)</f>
        <v>0</v>
      </c>
      <c r="O6" s="25" t="b">
        <f>IF(CNC!C$15=I6,A6)</f>
        <v>0</v>
      </c>
      <c r="P6" s="25">
        <f>IF(CNC!C$16&lt;=J6,A6)</f>
        <v>5</v>
      </c>
      <c r="Q6" s="25" t="b">
        <f>IF(D6=CNC!AR$10,A6)</f>
        <v>0</v>
      </c>
      <c r="R6" s="25" t="b">
        <f t="shared" si="0"/>
        <v>0</v>
      </c>
      <c r="S6">
        <f t="shared" si="3"/>
        <v>290</v>
      </c>
      <c r="T6" s="24">
        <f t="shared" si="4"/>
        <v>289</v>
      </c>
      <c r="U6" t="str">
        <f t="shared" si="5"/>
        <v>NBK08075C27_1.5ISO_AC</v>
      </c>
      <c r="V6" t="b">
        <f t="shared" si="1"/>
        <v>0</v>
      </c>
      <c r="W6" t="str">
        <f t="shared" si="2"/>
        <v>NBK08075C27_1.5ISO_AC</v>
      </c>
    </row>
    <row r="7" spans="1:23" ht="17" customHeight="1">
      <c r="A7" s="4">
        <v>6</v>
      </c>
      <c r="B7" s="162">
        <v>2</v>
      </c>
      <c r="C7" s="162">
        <v>4</v>
      </c>
      <c r="D7" s="162">
        <v>6</v>
      </c>
      <c r="E7" s="133" t="s">
        <v>1958</v>
      </c>
      <c r="F7" s="133">
        <v>20</v>
      </c>
      <c r="G7" s="133">
        <v>20</v>
      </c>
      <c r="H7" s="133">
        <v>4</v>
      </c>
      <c r="I7" s="133">
        <v>8</v>
      </c>
      <c r="J7" s="133">
        <v>42.86</v>
      </c>
      <c r="K7" s="133">
        <v>100</v>
      </c>
      <c r="L7" s="133">
        <v>26</v>
      </c>
      <c r="M7" s="163">
        <v>557.4</v>
      </c>
      <c r="N7" s="38" t="b">
        <f>IF(CNC!C$14&gt;=L7,A7)</f>
        <v>0</v>
      </c>
      <c r="O7" s="25" t="b">
        <f>IF(CNC!C$15=I7,A7)</f>
        <v>0</v>
      </c>
      <c r="P7" s="25">
        <f>IF(CNC!C$16&lt;=J7,A7)</f>
        <v>6</v>
      </c>
      <c r="Q7" s="25" t="b">
        <f>IF(D7=CNC!AR$10,A7)</f>
        <v>0</v>
      </c>
      <c r="R7" s="25" t="b">
        <f t="shared" si="0"/>
        <v>0</v>
      </c>
      <c r="S7">
        <f t="shared" si="3"/>
        <v>289</v>
      </c>
      <c r="T7" s="24">
        <f t="shared" si="4"/>
        <v>288</v>
      </c>
      <c r="U7" t="str">
        <f t="shared" si="5"/>
        <v>NBK08075C32_1.5ISO_AC</v>
      </c>
      <c r="V7" t="b">
        <f t="shared" si="1"/>
        <v>0</v>
      </c>
      <c r="W7" t="str">
        <f t="shared" si="2"/>
        <v>NBK08075C32_1.5ISO_AC</v>
      </c>
    </row>
    <row r="8" spans="1:23" ht="17" customHeight="1">
      <c r="A8" s="4">
        <v>7</v>
      </c>
      <c r="B8" s="162">
        <v>2</v>
      </c>
      <c r="C8" s="162">
        <v>4</v>
      </c>
      <c r="D8" s="162">
        <v>5</v>
      </c>
      <c r="E8" s="133" t="s">
        <v>1959</v>
      </c>
      <c r="F8" s="133">
        <v>20</v>
      </c>
      <c r="G8" s="133">
        <v>20</v>
      </c>
      <c r="H8" s="133">
        <v>4</v>
      </c>
      <c r="I8" s="133">
        <v>8</v>
      </c>
      <c r="J8" s="133">
        <v>42.86</v>
      </c>
      <c r="K8" s="133">
        <v>100</v>
      </c>
      <c r="L8" s="133">
        <v>26</v>
      </c>
      <c r="M8" s="163">
        <v>557.4</v>
      </c>
      <c r="N8" s="38" t="b">
        <f>IF(CNC!C$14&gt;=L8,A8)</f>
        <v>0</v>
      </c>
      <c r="O8" s="25" t="b">
        <f>IF(CNC!C$15=I8,A8)</f>
        <v>0</v>
      </c>
      <c r="P8" s="25">
        <f>IF(CNC!C$16&lt;=J8,A8)</f>
        <v>7</v>
      </c>
      <c r="Q8" s="25" t="b">
        <f>IF(D8=CNC!AR$10,A8)</f>
        <v>0</v>
      </c>
      <c r="R8" s="25" t="b">
        <f t="shared" si="0"/>
        <v>0</v>
      </c>
      <c r="S8">
        <f t="shared" si="3"/>
        <v>264</v>
      </c>
      <c r="T8" s="24">
        <f t="shared" si="4"/>
        <v>263</v>
      </c>
      <c r="U8" t="str">
        <f t="shared" si="5"/>
        <v>NBT08075C21_1.5ISO_AC</v>
      </c>
      <c r="V8" t="b">
        <f t="shared" si="1"/>
        <v>0</v>
      </c>
      <c r="W8" t="str">
        <f t="shared" si="2"/>
        <v>NBT08075C21_1.5ISO_AC</v>
      </c>
    </row>
    <row r="9" spans="1:23" ht="17" customHeight="1">
      <c r="A9" s="4">
        <v>8</v>
      </c>
      <c r="B9" s="162">
        <v>1</v>
      </c>
      <c r="C9" s="162">
        <v>1</v>
      </c>
      <c r="D9" s="162">
        <v>3</v>
      </c>
      <c r="E9" s="133" t="s">
        <v>1960</v>
      </c>
      <c r="F9" s="133">
        <v>16</v>
      </c>
      <c r="G9" s="133">
        <v>16</v>
      </c>
      <c r="H9" s="133">
        <v>5</v>
      </c>
      <c r="I9" s="133">
        <v>14</v>
      </c>
      <c r="J9" s="133">
        <v>28.12</v>
      </c>
      <c r="K9" s="133">
        <v>89</v>
      </c>
      <c r="L9" s="133">
        <v>19.7</v>
      </c>
      <c r="M9" s="163">
        <v>403.5</v>
      </c>
      <c r="N9" s="38" t="b">
        <f>IF(CNC!C$14&gt;=L9,A9)</f>
        <v>0</v>
      </c>
      <c r="O9" s="25" t="b">
        <f>IF(CNC!C$15=I9,A9)</f>
        <v>0</v>
      </c>
      <c r="P9" s="25">
        <f>IF(CNC!C$16&lt;=J9,A9)</f>
        <v>8</v>
      </c>
      <c r="Q9" s="25" t="b">
        <f>IF(D9=CNC!AR$10,A9)</f>
        <v>0</v>
      </c>
      <c r="R9" s="25" t="b">
        <f t="shared" si="0"/>
        <v>0</v>
      </c>
      <c r="S9">
        <f t="shared" si="3"/>
        <v>237</v>
      </c>
      <c r="T9" s="24">
        <f t="shared" si="4"/>
        <v>236</v>
      </c>
      <c r="U9" t="str">
        <f t="shared" si="5"/>
        <v>NF12075C21_1.5ISO_AC</v>
      </c>
      <c r="V9" t="b">
        <f t="shared" si="1"/>
        <v>0</v>
      </c>
      <c r="W9" t="str">
        <f t="shared" si="2"/>
        <v>NF12075C21_1.5ISO_AC</v>
      </c>
    </row>
    <row r="10" spans="1:23" ht="17" customHeight="1">
      <c r="A10" s="4">
        <v>9</v>
      </c>
      <c r="B10" s="162">
        <v>2</v>
      </c>
      <c r="C10" s="162">
        <v>4</v>
      </c>
      <c r="D10" s="162">
        <v>5</v>
      </c>
      <c r="E10" s="133" t="s">
        <v>2233</v>
      </c>
      <c r="F10" s="133">
        <v>16</v>
      </c>
      <c r="G10" s="133">
        <v>16</v>
      </c>
      <c r="H10" s="133">
        <v>5</v>
      </c>
      <c r="I10" s="133">
        <v>14</v>
      </c>
      <c r="J10" s="133">
        <v>22.86</v>
      </c>
      <c r="K10" s="133">
        <v>89</v>
      </c>
      <c r="L10" s="133">
        <v>19.399999999999999</v>
      </c>
      <c r="M10" s="163">
        <v>443.6</v>
      </c>
      <c r="N10" s="38" t="b">
        <f>IF(CNC!C$14&gt;=L10,A10)</f>
        <v>0</v>
      </c>
      <c r="O10" s="25" t="b">
        <f>IF(CNC!C$15=I10,A10)</f>
        <v>0</v>
      </c>
      <c r="P10" s="25">
        <f>IF(CNC!C$16&lt;=J10,A10)</f>
        <v>9</v>
      </c>
      <c r="Q10" s="25" t="b">
        <f>IF(D10=CNC!AR$10,A10)</f>
        <v>0</v>
      </c>
      <c r="R10" s="25" t="b">
        <f t="shared" si="0"/>
        <v>0</v>
      </c>
      <c r="S10">
        <f t="shared" si="3"/>
        <v>236</v>
      </c>
      <c r="T10" s="24">
        <f t="shared" si="4"/>
        <v>235</v>
      </c>
      <c r="U10" t="str">
        <f t="shared" si="5"/>
        <v>NF12075C27_1.5ISO_AC</v>
      </c>
      <c r="V10" t="b">
        <f t="shared" si="1"/>
        <v>0</v>
      </c>
      <c r="W10" t="str">
        <f t="shared" si="2"/>
        <v>NF12075C27_1.5ISO_AC</v>
      </c>
    </row>
    <row r="11" spans="1:23" ht="17" customHeight="1">
      <c r="A11" s="4">
        <v>10</v>
      </c>
      <c r="B11" s="162">
        <v>1</v>
      </c>
      <c r="C11" s="162">
        <v>1</v>
      </c>
      <c r="D11" s="162">
        <v>3</v>
      </c>
      <c r="E11" s="133" t="s">
        <v>1961</v>
      </c>
      <c r="F11" s="133">
        <v>16</v>
      </c>
      <c r="G11" s="133">
        <v>16</v>
      </c>
      <c r="H11" s="133">
        <v>4</v>
      </c>
      <c r="I11" s="133">
        <v>11</v>
      </c>
      <c r="J11" s="133">
        <v>40.409999999999997</v>
      </c>
      <c r="K11" s="133">
        <v>100</v>
      </c>
      <c r="L11" s="133">
        <v>20.5</v>
      </c>
      <c r="M11" s="163">
        <v>403.5</v>
      </c>
      <c r="N11" s="38" t="b">
        <f>IF(CNC!C$14&gt;=L11,A11)</f>
        <v>0</v>
      </c>
      <c r="O11" s="25" t="b">
        <f>IF(CNC!C$15=I11,A11)</f>
        <v>0</v>
      </c>
      <c r="P11" s="25">
        <f>IF(CNC!C$16&lt;=J11,A11)</f>
        <v>10</v>
      </c>
      <c r="Q11" s="25" t="b">
        <f>IF(D11=CNC!AR$10,A11)</f>
        <v>0</v>
      </c>
      <c r="R11" s="25" t="b">
        <f t="shared" si="0"/>
        <v>0</v>
      </c>
      <c r="S11">
        <f t="shared" si="3"/>
        <v>212</v>
      </c>
      <c r="T11" s="24">
        <f t="shared" si="4"/>
        <v>211</v>
      </c>
      <c r="U11" t="str">
        <f t="shared" si="5"/>
        <v>NM08075E22_1.5ISO_AC</v>
      </c>
      <c r="V11" t="b">
        <f t="shared" si="1"/>
        <v>0</v>
      </c>
      <c r="W11" t="str">
        <f t="shared" si="2"/>
        <v>NM08075E22_1.5ISO_AC</v>
      </c>
    </row>
    <row r="12" spans="1:23" ht="17" customHeight="1">
      <c r="A12" s="4">
        <v>11</v>
      </c>
      <c r="B12" s="162">
        <v>2</v>
      </c>
      <c r="C12" s="162">
        <v>4</v>
      </c>
      <c r="D12" s="162">
        <v>4</v>
      </c>
      <c r="E12" s="133" t="s">
        <v>1962</v>
      </c>
      <c r="F12" s="133">
        <v>16</v>
      </c>
      <c r="G12" s="133">
        <v>16</v>
      </c>
      <c r="H12" s="133">
        <v>4</v>
      </c>
      <c r="I12" s="133">
        <v>11</v>
      </c>
      <c r="J12" s="133">
        <v>31.17</v>
      </c>
      <c r="K12" s="133">
        <v>89</v>
      </c>
      <c r="L12" s="133">
        <v>20.5</v>
      </c>
      <c r="M12" s="163">
        <v>443.6</v>
      </c>
      <c r="N12" s="38" t="b">
        <f>IF(CNC!C$14&gt;=L12,A12)</f>
        <v>0</v>
      </c>
      <c r="O12" s="25" t="b">
        <f>IF(CNC!C$15=I12,A12)</f>
        <v>0</v>
      </c>
      <c r="P12" s="25">
        <f>IF(CNC!C$16&lt;=J12,A12)</f>
        <v>11</v>
      </c>
      <c r="Q12" s="25" t="b">
        <f>IF(D12=CNC!AR$10,A12)</f>
        <v>0</v>
      </c>
      <c r="R12" s="25" t="b">
        <f t="shared" si="0"/>
        <v>0</v>
      </c>
      <c r="S12">
        <f t="shared" si="3"/>
        <v>211</v>
      </c>
      <c r="T12" s="24">
        <f t="shared" si="4"/>
        <v>210</v>
      </c>
      <c r="U12" t="str">
        <f t="shared" si="5"/>
        <v>NM08075E32_1.5ISO_AC</v>
      </c>
      <c r="V12" t="b">
        <f t="shared" si="1"/>
        <v>0</v>
      </c>
      <c r="W12" t="str">
        <f t="shared" si="2"/>
        <v>NM08075E32_1.5ISO_AC</v>
      </c>
    </row>
    <row r="13" spans="1:23" ht="17" customHeight="1">
      <c r="A13" s="4">
        <v>12</v>
      </c>
      <c r="B13" s="162">
        <v>2</v>
      </c>
      <c r="C13" s="162">
        <v>4</v>
      </c>
      <c r="D13" s="162">
        <v>6</v>
      </c>
      <c r="E13" s="133" t="s">
        <v>1963</v>
      </c>
      <c r="F13" s="133">
        <v>16</v>
      </c>
      <c r="G13" s="133">
        <v>16</v>
      </c>
      <c r="H13" s="133">
        <v>4</v>
      </c>
      <c r="I13" s="133">
        <v>11.5</v>
      </c>
      <c r="J13" s="133">
        <v>29.82</v>
      </c>
      <c r="K13" s="133">
        <v>89</v>
      </c>
      <c r="L13" s="133">
        <v>20</v>
      </c>
      <c r="M13" s="163">
        <v>443.6</v>
      </c>
      <c r="N13" s="38" t="b">
        <f>IF(CNC!C$14&gt;=L13,A13)</f>
        <v>0</v>
      </c>
      <c r="O13" s="25" t="b">
        <f>IF(CNC!C$15=I13,A13)</f>
        <v>0</v>
      </c>
      <c r="P13" s="25">
        <f>IF(CNC!C$16&lt;=J13,A13)</f>
        <v>12</v>
      </c>
      <c r="Q13" s="25" t="b">
        <f>IF(D13=CNC!AR$10,A13)</f>
        <v>0</v>
      </c>
      <c r="R13" s="25" t="b">
        <f t="shared" si="0"/>
        <v>0</v>
      </c>
      <c r="S13">
        <f t="shared" si="3"/>
        <v>59</v>
      </c>
      <c r="T13" s="24">
        <f t="shared" si="4"/>
        <v>58</v>
      </c>
      <c r="U13" t="str">
        <f t="shared" si="5"/>
        <v>NS08075E22_P60_AC</v>
      </c>
      <c r="V13" t="b">
        <f t="shared" si="1"/>
        <v>0</v>
      </c>
      <c r="W13" t="str">
        <f t="shared" si="2"/>
        <v>NS08075E22_P60_AC</v>
      </c>
    </row>
    <row r="14" spans="1:23" ht="17" customHeight="1">
      <c r="A14" s="4">
        <v>13</v>
      </c>
      <c r="B14" s="162">
        <v>2</v>
      </c>
      <c r="C14" s="162">
        <v>4</v>
      </c>
      <c r="D14" s="162">
        <v>5</v>
      </c>
      <c r="E14" s="133" t="s">
        <v>1964</v>
      </c>
      <c r="F14" s="133">
        <v>16</v>
      </c>
      <c r="G14" s="133">
        <v>16</v>
      </c>
      <c r="H14" s="133">
        <v>4</v>
      </c>
      <c r="I14" s="133">
        <v>11.5</v>
      </c>
      <c r="J14" s="133">
        <v>29.82</v>
      </c>
      <c r="K14" s="133">
        <v>89</v>
      </c>
      <c r="L14" s="133">
        <v>20</v>
      </c>
      <c r="M14" s="163">
        <v>443.6</v>
      </c>
      <c r="N14" s="38" t="b">
        <f>IF(CNC!C$14&gt;=L14,A14)</f>
        <v>0</v>
      </c>
      <c r="O14" s="25" t="b">
        <f>IF(CNC!C$15=I14,A14)</f>
        <v>0</v>
      </c>
      <c r="P14" s="25">
        <f>IF(CNC!C$16&lt;=J14,A14)</f>
        <v>13</v>
      </c>
      <c r="Q14" s="25" t="b">
        <f>IF(D14=CNC!AR$10,A14)</f>
        <v>0</v>
      </c>
      <c r="R14" s="25" t="b">
        <f t="shared" si="0"/>
        <v>0</v>
      </c>
      <c r="S14">
        <f t="shared" si="3"/>
        <v>56</v>
      </c>
      <c r="T14" s="24">
        <f t="shared" si="4"/>
        <v>55</v>
      </c>
      <c r="U14" t="str">
        <f t="shared" si="5"/>
        <v>NS08075E32_P60_AC</v>
      </c>
      <c r="V14" t="b">
        <f t="shared" si="1"/>
        <v>0</v>
      </c>
      <c r="W14" t="str">
        <f t="shared" si="2"/>
        <v>NS08075E32_P60_AC</v>
      </c>
    </row>
    <row r="15" spans="1:23" ht="17" customHeight="1">
      <c r="A15" s="4">
        <v>14</v>
      </c>
      <c r="B15" s="162">
        <v>1</v>
      </c>
      <c r="C15" s="162">
        <v>1</v>
      </c>
      <c r="D15" s="162">
        <v>7</v>
      </c>
      <c r="E15" s="133" t="s">
        <v>1965</v>
      </c>
      <c r="F15" s="133">
        <v>16</v>
      </c>
      <c r="G15" s="133">
        <v>16</v>
      </c>
      <c r="H15" s="133">
        <v>4</v>
      </c>
      <c r="I15" s="133">
        <v>11.5</v>
      </c>
      <c r="J15" s="133">
        <v>29.82</v>
      </c>
      <c r="K15" s="133">
        <v>89</v>
      </c>
      <c r="L15" s="133">
        <v>20</v>
      </c>
      <c r="M15" s="163">
        <v>443.6</v>
      </c>
      <c r="N15" s="38" t="b">
        <f>IF(CNC!C$14&gt;=L15,A15)</f>
        <v>0</v>
      </c>
      <c r="O15" s="25" t="b">
        <f>IF(CNC!C$15=I15,A15)</f>
        <v>0</v>
      </c>
      <c r="P15" s="25">
        <f>IF(CNC!C$16&lt;=J15,A15)</f>
        <v>14</v>
      </c>
      <c r="Q15" s="25" t="b">
        <f>IF(D15=CNC!AR$10,A15)</f>
        <v>0</v>
      </c>
      <c r="R15" s="25" t="b">
        <f t="shared" si="0"/>
        <v>0</v>
      </c>
      <c r="S15" t="e">
        <f t="shared" si="3"/>
        <v>#N/A</v>
      </c>
      <c r="T15" s="24" t="e">
        <f t="shared" si="4"/>
        <v>#N/A</v>
      </c>
      <c r="U15" t="e">
        <f t="shared" si="5"/>
        <v>#N/A</v>
      </c>
      <c r="V15" t="b">
        <f t="shared" si="1"/>
        <v>1</v>
      </c>
      <c r="W15" t="str">
        <f t="shared" si="2"/>
        <v/>
      </c>
    </row>
    <row r="16" spans="1:23" ht="17" customHeight="1">
      <c r="A16" s="4">
        <v>15</v>
      </c>
      <c r="B16" s="162">
        <v>1</v>
      </c>
      <c r="C16" s="162">
        <v>1</v>
      </c>
      <c r="D16" s="162">
        <v>8</v>
      </c>
      <c r="E16" s="133" t="s">
        <v>1966</v>
      </c>
      <c r="F16" s="133">
        <v>12</v>
      </c>
      <c r="G16" s="133">
        <v>12</v>
      </c>
      <c r="H16" s="133">
        <v>4</v>
      </c>
      <c r="I16" s="133">
        <v>16</v>
      </c>
      <c r="J16" s="133">
        <v>30.96</v>
      </c>
      <c r="K16" s="133">
        <v>83</v>
      </c>
      <c r="L16" s="133">
        <v>14.1</v>
      </c>
      <c r="M16" s="163">
        <v>308.60000000000002</v>
      </c>
      <c r="N16" s="38" t="b">
        <f>IF(CNC!C$14&gt;=L16,A16)</f>
        <v>0</v>
      </c>
      <c r="O16" s="25" t="b">
        <f>IF(CNC!C$15=I16,A16)</f>
        <v>0</v>
      </c>
      <c r="P16" s="25">
        <f>IF(CNC!C$16&lt;=J16,A16)</f>
        <v>15</v>
      </c>
      <c r="Q16" s="25" t="b">
        <f>IF(D16=CNC!AR$10,A16)</f>
        <v>0</v>
      </c>
      <c r="R16" s="25" t="b">
        <f t="shared" si="0"/>
        <v>0</v>
      </c>
      <c r="S16" t="e">
        <f t="shared" si="3"/>
        <v>#N/A</v>
      </c>
      <c r="T16" s="24" t="e">
        <f t="shared" si="4"/>
        <v>#N/A</v>
      </c>
      <c r="U16" t="e">
        <f t="shared" si="5"/>
        <v>#N/A</v>
      </c>
      <c r="V16" t="b">
        <f t="shared" si="1"/>
        <v>1</v>
      </c>
      <c r="W16" t="str">
        <f t="shared" si="2"/>
        <v/>
      </c>
    </row>
    <row r="17" spans="1:23" ht="17" customHeight="1">
      <c r="A17" s="4">
        <v>16</v>
      </c>
      <c r="B17" s="162">
        <v>1</v>
      </c>
      <c r="C17" s="162">
        <v>1</v>
      </c>
      <c r="D17" s="162">
        <v>3</v>
      </c>
      <c r="E17" s="133" t="s">
        <v>1967</v>
      </c>
      <c r="F17" s="133">
        <v>12</v>
      </c>
      <c r="G17" s="133">
        <v>12</v>
      </c>
      <c r="H17" s="133">
        <v>4</v>
      </c>
      <c r="I17" s="133">
        <v>14</v>
      </c>
      <c r="J17" s="133">
        <v>28.12</v>
      </c>
      <c r="K17" s="133">
        <v>83</v>
      </c>
      <c r="L17" s="133">
        <v>15.5</v>
      </c>
      <c r="M17" s="163">
        <v>308.60000000000002</v>
      </c>
      <c r="N17" s="38" t="b">
        <f>IF(CNC!C$14&gt;=L17,A17)</f>
        <v>0</v>
      </c>
      <c r="O17" s="25" t="b">
        <f>IF(CNC!C$15=I17,A17)</f>
        <v>0</v>
      </c>
      <c r="P17" s="25">
        <f>IF(CNC!C$16&lt;=J17,A17)</f>
        <v>16</v>
      </c>
      <c r="Q17" s="25" t="b">
        <f>IF(D17=CNC!AR$10,A17)</f>
        <v>0</v>
      </c>
      <c r="R17" s="25" t="b">
        <f t="shared" si="0"/>
        <v>0</v>
      </c>
      <c r="S17" t="e">
        <f t="shared" si="3"/>
        <v>#N/A</v>
      </c>
      <c r="T17" s="24" t="e">
        <f t="shared" si="4"/>
        <v>#N/A</v>
      </c>
      <c r="U17" t="e">
        <f t="shared" si="5"/>
        <v>#N/A</v>
      </c>
      <c r="V17" t="b">
        <f t="shared" si="1"/>
        <v>1</v>
      </c>
      <c r="W17" t="str">
        <f t="shared" si="2"/>
        <v/>
      </c>
    </row>
    <row r="18" spans="1:23" ht="17" customHeight="1">
      <c r="A18" s="4">
        <v>17</v>
      </c>
      <c r="B18" s="162">
        <v>2</v>
      </c>
      <c r="C18" s="162">
        <v>4</v>
      </c>
      <c r="D18" s="162">
        <v>6</v>
      </c>
      <c r="E18" s="133" t="s">
        <v>1968</v>
      </c>
      <c r="F18" s="133">
        <v>12</v>
      </c>
      <c r="G18" s="133">
        <v>12</v>
      </c>
      <c r="H18" s="133">
        <v>4</v>
      </c>
      <c r="I18" s="133">
        <v>14</v>
      </c>
      <c r="J18" s="133">
        <v>22.68</v>
      </c>
      <c r="K18" s="133">
        <v>83</v>
      </c>
      <c r="L18" s="133">
        <v>15.2</v>
      </c>
      <c r="M18" s="163">
        <v>308.60000000000002</v>
      </c>
      <c r="N18" s="38" t="b">
        <f>IF(CNC!C$14&gt;=L18,A18)</f>
        <v>0</v>
      </c>
      <c r="O18" s="25" t="b">
        <f>IF(CNC!C$15=I18,A18)</f>
        <v>0</v>
      </c>
      <c r="P18" s="25">
        <f>IF(CNC!C$16&lt;=J18,A18)</f>
        <v>17</v>
      </c>
      <c r="Q18" s="25" t="b">
        <f>IF(D18=CNC!AR$10,A18)</f>
        <v>0</v>
      </c>
      <c r="R18" s="25" t="b">
        <f t="shared" si="0"/>
        <v>0</v>
      </c>
      <c r="S18" t="e">
        <f t="shared" si="3"/>
        <v>#N/A</v>
      </c>
      <c r="T18" s="24" t="e">
        <f t="shared" si="4"/>
        <v>#N/A</v>
      </c>
      <c r="U18" t="e">
        <f t="shared" si="5"/>
        <v>#N/A</v>
      </c>
      <c r="V18" t="b">
        <f t="shared" si="1"/>
        <v>1</v>
      </c>
      <c r="W18" t="str">
        <f t="shared" si="2"/>
        <v/>
      </c>
    </row>
    <row r="19" spans="1:23" ht="17" customHeight="1">
      <c r="A19" s="4">
        <v>18</v>
      </c>
      <c r="B19" s="162">
        <v>2</v>
      </c>
      <c r="C19" s="162">
        <v>4</v>
      </c>
      <c r="D19" s="162">
        <v>5</v>
      </c>
      <c r="E19" s="133" t="s">
        <v>1969</v>
      </c>
      <c r="F19" s="133">
        <v>12</v>
      </c>
      <c r="G19" s="133">
        <v>12</v>
      </c>
      <c r="H19" s="133">
        <v>4</v>
      </c>
      <c r="I19" s="133">
        <v>14</v>
      </c>
      <c r="J19" s="133">
        <v>22.68</v>
      </c>
      <c r="K19" s="133">
        <v>83</v>
      </c>
      <c r="L19" s="133">
        <v>15.2</v>
      </c>
      <c r="M19" s="163">
        <v>308.60000000000002</v>
      </c>
      <c r="N19" s="38" t="b">
        <f>IF(CNC!C$14&gt;=L19,A19)</f>
        <v>0</v>
      </c>
      <c r="O19" s="25" t="b">
        <f>IF(CNC!C$15=I19,A19)</f>
        <v>0</v>
      </c>
      <c r="P19" s="25">
        <f>IF(CNC!C$16&lt;=J19,A19)</f>
        <v>18</v>
      </c>
      <c r="Q19" s="25" t="b">
        <f>IF(D19=CNC!AR$10,A19)</f>
        <v>0</v>
      </c>
      <c r="R19" s="25" t="b">
        <f t="shared" si="0"/>
        <v>0</v>
      </c>
      <c r="S19" t="e">
        <f t="shared" si="3"/>
        <v>#N/A</v>
      </c>
      <c r="T19" s="24" t="e">
        <f t="shared" si="4"/>
        <v>#N/A</v>
      </c>
      <c r="U19" t="e">
        <f t="shared" si="5"/>
        <v>#N/A</v>
      </c>
      <c r="V19" t="b">
        <f t="shared" si="1"/>
        <v>1</v>
      </c>
      <c r="W19" t="str">
        <f t="shared" si="2"/>
        <v/>
      </c>
    </row>
    <row r="20" spans="1:23" ht="17" customHeight="1">
      <c r="A20" s="4">
        <v>19</v>
      </c>
      <c r="B20" s="162">
        <v>1</v>
      </c>
      <c r="C20" s="162">
        <v>1</v>
      </c>
      <c r="D20" s="162">
        <v>7</v>
      </c>
      <c r="E20" s="133" t="s">
        <v>1970</v>
      </c>
      <c r="F20" s="133">
        <v>12</v>
      </c>
      <c r="G20" s="133">
        <v>12</v>
      </c>
      <c r="H20" s="133">
        <v>4</v>
      </c>
      <c r="I20" s="133">
        <v>14</v>
      </c>
      <c r="J20" s="133">
        <v>22.68</v>
      </c>
      <c r="K20" s="133">
        <v>83</v>
      </c>
      <c r="L20" s="133">
        <v>15.2</v>
      </c>
      <c r="M20" s="163">
        <v>308.60000000000002</v>
      </c>
      <c r="N20" s="38" t="b">
        <f>IF(CNC!C$14&gt;=L20,A20)</f>
        <v>0</v>
      </c>
      <c r="O20" s="25" t="b">
        <f>IF(CNC!C$15=I20,A20)</f>
        <v>0</v>
      </c>
      <c r="P20" s="25">
        <f>IF(CNC!C$16&lt;=J20,A20)</f>
        <v>19</v>
      </c>
      <c r="Q20" s="25" t="b">
        <f>IF(D20=CNC!AR$10,A20)</f>
        <v>0</v>
      </c>
      <c r="R20" s="25" t="b">
        <f t="shared" si="0"/>
        <v>0</v>
      </c>
      <c r="S20" t="e">
        <f t="shared" si="3"/>
        <v>#N/A</v>
      </c>
      <c r="T20" s="24" t="e">
        <f t="shared" si="4"/>
        <v>#N/A</v>
      </c>
      <c r="U20" t="e">
        <f t="shared" si="5"/>
        <v>#N/A</v>
      </c>
      <c r="V20" t="b">
        <f t="shared" si="1"/>
        <v>1</v>
      </c>
      <c r="W20" t="str">
        <f t="shared" si="2"/>
        <v/>
      </c>
    </row>
    <row r="21" spans="1:23" ht="17" customHeight="1">
      <c r="A21" s="4">
        <v>20</v>
      </c>
      <c r="B21" s="162">
        <v>1</v>
      </c>
      <c r="C21" s="162">
        <v>1</v>
      </c>
      <c r="D21" s="162">
        <v>3</v>
      </c>
      <c r="E21" s="133" t="s">
        <v>1971</v>
      </c>
      <c r="F21" s="133">
        <v>12</v>
      </c>
      <c r="G21" s="133">
        <v>12</v>
      </c>
      <c r="H21" s="133">
        <v>4</v>
      </c>
      <c r="I21" s="133">
        <v>14</v>
      </c>
      <c r="J21" s="133">
        <v>20.86</v>
      </c>
      <c r="K21" s="133">
        <v>83</v>
      </c>
      <c r="L21" s="133">
        <v>15.5</v>
      </c>
      <c r="M21" s="163">
        <v>280.39999999999998</v>
      </c>
      <c r="N21" s="38" t="b">
        <f>IF(CNC!C$14&gt;=L21,A21)</f>
        <v>0</v>
      </c>
      <c r="O21" s="25" t="b">
        <f>IF(CNC!C$15=I21,A21)</f>
        <v>0</v>
      </c>
      <c r="P21" s="25">
        <f>IF(CNC!C$16&lt;=J21,A21)</f>
        <v>20</v>
      </c>
      <c r="Q21" s="25" t="b">
        <f>IF(D21=CNC!AR$10,A21)</f>
        <v>0</v>
      </c>
      <c r="R21" s="25" t="b">
        <f t="shared" si="0"/>
        <v>0</v>
      </c>
      <c r="S21" t="e">
        <f t="shared" si="3"/>
        <v>#N/A</v>
      </c>
      <c r="T21" s="24" t="e">
        <f t="shared" si="4"/>
        <v>#N/A</v>
      </c>
      <c r="U21" t="e">
        <f t="shared" si="5"/>
        <v>#N/A</v>
      </c>
      <c r="V21" t="b">
        <f t="shared" si="1"/>
        <v>1</v>
      </c>
      <c r="W21" t="str">
        <f t="shared" si="2"/>
        <v/>
      </c>
    </row>
    <row r="22" spans="1:23" ht="17" customHeight="1">
      <c r="A22" s="4">
        <v>21</v>
      </c>
      <c r="B22" s="162">
        <v>2</v>
      </c>
      <c r="C22" s="162">
        <v>4</v>
      </c>
      <c r="D22" s="162">
        <v>4</v>
      </c>
      <c r="E22" s="133" t="s">
        <v>1972</v>
      </c>
      <c r="F22" s="133">
        <v>12</v>
      </c>
      <c r="G22" s="133">
        <v>12</v>
      </c>
      <c r="H22" s="133">
        <v>4</v>
      </c>
      <c r="I22" s="133">
        <v>14</v>
      </c>
      <c r="J22" s="133">
        <v>20.86</v>
      </c>
      <c r="K22" s="133">
        <v>83</v>
      </c>
      <c r="L22" s="133">
        <v>15.5</v>
      </c>
      <c r="M22" s="163">
        <v>308.60000000000002</v>
      </c>
      <c r="N22" s="38" t="b">
        <f>IF(CNC!C$14&gt;=L22,A22)</f>
        <v>0</v>
      </c>
      <c r="O22" s="25" t="b">
        <f>IF(CNC!C$15=I22,A22)</f>
        <v>0</v>
      </c>
      <c r="P22" s="25">
        <f>IF(CNC!C$16&lt;=J22,A22)</f>
        <v>21</v>
      </c>
      <c r="Q22" s="25" t="b">
        <f>IF(D22=CNC!AR$10,A22)</f>
        <v>0</v>
      </c>
      <c r="R22" s="25" t="b">
        <f t="shared" si="0"/>
        <v>0</v>
      </c>
      <c r="S22" t="e">
        <f t="shared" si="3"/>
        <v>#N/A</v>
      </c>
      <c r="T22" s="24" t="e">
        <f t="shared" si="4"/>
        <v>#N/A</v>
      </c>
      <c r="U22" t="e">
        <f t="shared" si="5"/>
        <v>#N/A</v>
      </c>
      <c r="V22" t="b">
        <f t="shared" si="1"/>
        <v>1</v>
      </c>
      <c r="W22" t="str">
        <f t="shared" si="2"/>
        <v/>
      </c>
    </row>
    <row r="23" spans="1:23" ht="17" customHeight="1">
      <c r="A23" s="4">
        <v>22</v>
      </c>
      <c r="B23" s="162">
        <v>1</v>
      </c>
      <c r="C23" s="162">
        <v>1</v>
      </c>
      <c r="D23" s="162">
        <v>3</v>
      </c>
      <c r="E23" s="133" t="s">
        <v>1973</v>
      </c>
      <c r="F23" s="133">
        <v>12</v>
      </c>
      <c r="G23" s="133">
        <v>12</v>
      </c>
      <c r="H23" s="133">
        <v>3</v>
      </c>
      <c r="I23" s="133">
        <v>11</v>
      </c>
      <c r="J23" s="133">
        <v>26.55</v>
      </c>
      <c r="K23" s="133">
        <v>83</v>
      </c>
      <c r="L23" s="133">
        <v>15.476000000000001</v>
      </c>
      <c r="M23" s="163">
        <v>280.39999999999998</v>
      </c>
      <c r="N23" s="38" t="b">
        <f>IF(CNC!C$14&gt;=L23,A23)</f>
        <v>0</v>
      </c>
      <c r="O23" s="25" t="b">
        <f>IF(CNC!C$15=I23,A23)</f>
        <v>0</v>
      </c>
      <c r="P23" s="25">
        <f>IF(CNC!C$16&lt;=J23,A23)</f>
        <v>22</v>
      </c>
      <c r="Q23" s="25" t="b">
        <f>IF(D23=CNC!AR$10,A23)</f>
        <v>0</v>
      </c>
      <c r="R23" s="25" t="b">
        <f t="shared" si="0"/>
        <v>0</v>
      </c>
      <c r="S23" t="e">
        <f t="shared" si="3"/>
        <v>#N/A</v>
      </c>
      <c r="T23" s="24" t="e">
        <f t="shared" si="4"/>
        <v>#N/A</v>
      </c>
      <c r="U23" t="e">
        <f t="shared" si="5"/>
        <v>#N/A</v>
      </c>
      <c r="V23" t="b">
        <f t="shared" si="1"/>
        <v>1</v>
      </c>
      <c r="W23" t="str">
        <f t="shared" si="2"/>
        <v/>
      </c>
    </row>
    <row r="24" spans="1:23" ht="17" customHeight="1">
      <c r="A24" s="4">
        <v>23</v>
      </c>
      <c r="B24" s="162">
        <v>1</v>
      </c>
      <c r="C24" s="162">
        <v>1</v>
      </c>
      <c r="D24" s="162">
        <v>3</v>
      </c>
      <c r="E24" s="133" t="s">
        <v>1974</v>
      </c>
      <c r="F24" s="133">
        <v>10</v>
      </c>
      <c r="G24" s="133">
        <v>10</v>
      </c>
      <c r="H24" s="133">
        <v>4</v>
      </c>
      <c r="I24" s="133">
        <v>19</v>
      </c>
      <c r="J24" s="133">
        <v>22.06</v>
      </c>
      <c r="K24" s="133">
        <v>76</v>
      </c>
      <c r="L24" s="133">
        <v>12.7</v>
      </c>
      <c r="M24" s="163">
        <v>238.9</v>
      </c>
      <c r="N24" s="38" t="b">
        <f>IF(CNC!C$14&gt;=L24,A24)</f>
        <v>0</v>
      </c>
      <c r="O24" s="25" t="b">
        <f>IF(CNC!C$15=I24,A24)</f>
        <v>0</v>
      </c>
      <c r="P24" s="25">
        <f>IF(CNC!C$16&lt;=J24,A24)</f>
        <v>23</v>
      </c>
      <c r="Q24" s="25" t="b">
        <f>IF(D24=CNC!AR$10,A24)</f>
        <v>0</v>
      </c>
      <c r="R24" s="25" t="b">
        <f t="shared" si="0"/>
        <v>0</v>
      </c>
      <c r="S24" t="e">
        <f t="shared" si="3"/>
        <v>#N/A</v>
      </c>
      <c r="T24" s="24" t="e">
        <f t="shared" si="4"/>
        <v>#N/A</v>
      </c>
      <c r="U24" t="e">
        <f t="shared" si="5"/>
        <v>#N/A</v>
      </c>
      <c r="V24" t="b">
        <f t="shared" si="1"/>
        <v>1</v>
      </c>
      <c r="W24" t="str">
        <f t="shared" si="2"/>
        <v/>
      </c>
    </row>
    <row r="25" spans="1:23" ht="17" customHeight="1">
      <c r="A25" s="4">
        <v>24</v>
      </c>
      <c r="B25" s="162">
        <v>2</v>
      </c>
      <c r="C25" s="162">
        <v>4</v>
      </c>
      <c r="D25" s="162">
        <v>4</v>
      </c>
      <c r="E25" s="133" t="s">
        <v>2252</v>
      </c>
      <c r="F25" s="133">
        <v>10</v>
      </c>
      <c r="G25" s="133">
        <v>10</v>
      </c>
      <c r="H25" s="133">
        <v>4</v>
      </c>
      <c r="I25" s="133">
        <v>19</v>
      </c>
      <c r="J25" s="133">
        <v>22.06</v>
      </c>
      <c r="K25" s="133">
        <v>76</v>
      </c>
      <c r="L25" s="133">
        <v>12.7</v>
      </c>
      <c r="M25" s="163">
        <v>262.7</v>
      </c>
      <c r="N25" s="38" t="b">
        <f>IF(CNC!C$14&gt;=L25,A25)</f>
        <v>0</v>
      </c>
      <c r="O25" s="25" t="b">
        <f>IF(CNC!C$15=I25,A25)</f>
        <v>0</v>
      </c>
      <c r="P25" s="25">
        <f>IF(CNC!C$16&lt;=J25,A25)</f>
        <v>24</v>
      </c>
      <c r="Q25" s="25" t="b">
        <f>IF(D25=CNC!AR$10,A25)</f>
        <v>0</v>
      </c>
      <c r="R25" s="25" t="b">
        <f t="shared" si="0"/>
        <v>0</v>
      </c>
      <c r="S25" t="e">
        <f t="shared" si="3"/>
        <v>#N/A</v>
      </c>
      <c r="T25" s="24" t="e">
        <f t="shared" si="4"/>
        <v>#N/A</v>
      </c>
      <c r="U25" t="e">
        <f t="shared" si="5"/>
        <v>#N/A</v>
      </c>
      <c r="V25" t="b">
        <f t="shared" si="1"/>
        <v>1</v>
      </c>
      <c r="W25" t="str">
        <f t="shared" si="2"/>
        <v/>
      </c>
    </row>
    <row r="26" spans="1:23" ht="17" customHeight="1">
      <c r="A26" s="4">
        <v>25</v>
      </c>
      <c r="B26" s="162">
        <v>2</v>
      </c>
      <c r="C26" s="162">
        <v>4</v>
      </c>
      <c r="D26" s="162">
        <v>5</v>
      </c>
      <c r="E26" s="133" t="s">
        <v>2253</v>
      </c>
      <c r="F26" s="133">
        <v>10</v>
      </c>
      <c r="G26" s="133">
        <v>10</v>
      </c>
      <c r="H26" s="133">
        <v>4</v>
      </c>
      <c r="I26" s="133">
        <v>18</v>
      </c>
      <c r="J26" s="133">
        <v>16.23</v>
      </c>
      <c r="K26" s="133">
        <v>76</v>
      </c>
      <c r="L26" s="133">
        <v>13.3</v>
      </c>
      <c r="M26" s="163">
        <v>262.7</v>
      </c>
      <c r="N26" s="38" t="b">
        <f>IF(CNC!C$14&gt;=L26,A26)</f>
        <v>0</v>
      </c>
      <c r="O26" s="25" t="b">
        <f>IF(CNC!C$15=I26,A26)</f>
        <v>0</v>
      </c>
      <c r="P26" s="25" t="b">
        <f>IF(CNC!C$16&lt;=J26,A26)</f>
        <v>0</v>
      </c>
      <c r="Q26" s="25" t="b">
        <f>IF(D26=CNC!AR$10,A26)</f>
        <v>0</v>
      </c>
      <c r="R26" s="25" t="b">
        <f t="shared" si="0"/>
        <v>0</v>
      </c>
      <c r="S26" t="e">
        <f t="shared" si="3"/>
        <v>#N/A</v>
      </c>
      <c r="T26" s="24" t="e">
        <f t="shared" ref="T26:T30" si="6">S26-1</f>
        <v>#N/A</v>
      </c>
      <c r="U26" t="e">
        <f t="shared" ref="U26:U30" si="7">LOOKUP(S26,A$2:A$488,E$2:E$488)</f>
        <v>#N/A</v>
      </c>
      <c r="V26" t="b">
        <f t="shared" ref="V26:V30" si="8">ISNA(U26)</f>
        <v>1</v>
      </c>
      <c r="W26" t="str">
        <f t="shared" ref="W26:W30" si="9">IF(V26=FALSE,U26,"")</f>
        <v/>
      </c>
    </row>
    <row r="27" spans="1:23" ht="17" customHeight="1">
      <c r="A27" s="4">
        <v>26</v>
      </c>
      <c r="B27" s="162">
        <v>1</v>
      </c>
      <c r="C27" s="162">
        <v>1</v>
      </c>
      <c r="D27" s="162">
        <v>8</v>
      </c>
      <c r="E27" s="133" t="s">
        <v>1975</v>
      </c>
      <c r="F27" s="133">
        <v>10</v>
      </c>
      <c r="G27" s="133">
        <v>10</v>
      </c>
      <c r="H27" s="133">
        <v>3</v>
      </c>
      <c r="I27" s="133">
        <v>18</v>
      </c>
      <c r="J27" s="133">
        <v>27.52</v>
      </c>
      <c r="K27" s="133">
        <v>76</v>
      </c>
      <c r="L27" s="133">
        <v>11.9</v>
      </c>
      <c r="M27" s="163">
        <v>262.7</v>
      </c>
      <c r="N27" s="38" t="b">
        <f>IF(CNC!C$14&gt;=L27,A27)</f>
        <v>0</v>
      </c>
      <c r="O27" s="25" t="b">
        <f>IF(CNC!C$15=I27,A27)</f>
        <v>0</v>
      </c>
      <c r="P27" s="25">
        <f>IF(CNC!C$16&lt;=J27,A27)</f>
        <v>26</v>
      </c>
      <c r="Q27" s="25" t="b">
        <f>IF(D27=CNC!AR$10,A27)</f>
        <v>0</v>
      </c>
      <c r="R27" s="25" t="b">
        <f t="shared" si="0"/>
        <v>0</v>
      </c>
      <c r="S27" t="e">
        <f t="shared" si="3"/>
        <v>#N/A</v>
      </c>
      <c r="T27" s="24" t="e">
        <f t="shared" si="6"/>
        <v>#N/A</v>
      </c>
      <c r="U27" t="e">
        <f t="shared" si="7"/>
        <v>#N/A</v>
      </c>
      <c r="V27" t="b">
        <f t="shared" si="8"/>
        <v>1</v>
      </c>
      <c r="W27" t="str">
        <f t="shared" si="9"/>
        <v/>
      </c>
    </row>
    <row r="28" spans="1:23" ht="17" customHeight="1">
      <c r="A28" s="4">
        <v>27</v>
      </c>
      <c r="B28" s="162">
        <v>1</v>
      </c>
      <c r="C28" s="162">
        <v>1</v>
      </c>
      <c r="D28" s="162">
        <v>3</v>
      </c>
      <c r="E28" s="133" t="s">
        <v>2250</v>
      </c>
      <c r="F28" s="133">
        <v>8</v>
      </c>
      <c r="G28" s="133">
        <v>8</v>
      </c>
      <c r="H28" s="133">
        <v>4</v>
      </c>
      <c r="I28" s="133">
        <v>28</v>
      </c>
      <c r="J28" s="133">
        <v>14.06</v>
      </c>
      <c r="K28" s="133">
        <v>63</v>
      </c>
      <c r="L28" s="133">
        <v>9.4</v>
      </c>
      <c r="M28" s="163">
        <v>187.8</v>
      </c>
      <c r="N28" s="38">
        <f>IF(CNC!C$14&gt;=L28,A28)</f>
        <v>27</v>
      </c>
      <c r="O28" s="25" t="b">
        <f>IF(CNC!C$15=I28,A28)</f>
        <v>0</v>
      </c>
      <c r="P28" s="25" t="b">
        <f>IF(CNC!C$16&lt;=J28,A28)</f>
        <v>0</v>
      </c>
      <c r="Q28" s="25" t="b">
        <f>IF(D28=CNC!AR$10,A28)</f>
        <v>0</v>
      </c>
      <c r="R28" s="25" t="b">
        <f t="shared" si="0"/>
        <v>0</v>
      </c>
      <c r="S28" t="e">
        <f t="shared" si="3"/>
        <v>#N/A</v>
      </c>
      <c r="T28" s="24" t="e">
        <f t="shared" si="6"/>
        <v>#N/A</v>
      </c>
      <c r="U28" t="e">
        <f t="shared" si="7"/>
        <v>#N/A</v>
      </c>
      <c r="V28" t="b">
        <f t="shared" si="8"/>
        <v>1</v>
      </c>
      <c r="W28" t="str">
        <f t="shared" si="9"/>
        <v/>
      </c>
    </row>
    <row r="29" spans="1:23" ht="17" customHeight="1">
      <c r="A29" s="4">
        <v>28</v>
      </c>
      <c r="B29" s="162">
        <v>2</v>
      </c>
      <c r="C29" s="162">
        <v>4</v>
      </c>
      <c r="D29" s="162">
        <v>4</v>
      </c>
      <c r="E29" s="133" t="s">
        <v>2251</v>
      </c>
      <c r="F29" s="133">
        <v>8</v>
      </c>
      <c r="G29" s="133">
        <v>8</v>
      </c>
      <c r="H29" s="133">
        <v>4</v>
      </c>
      <c r="I29" s="133">
        <v>28</v>
      </c>
      <c r="J29" s="133">
        <v>14.06</v>
      </c>
      <c r="K29" s="133">
        <v>63</v>
      </c>
      <c r="L29" s="133">
        <v>9.4</v>
      </c>
      <c r="M29" s="163">
        <v>206.6</v>
      </c>
      <c r="N29" s="38">
        <f>IF(CNC!C$14&gt;=L29,A29)</f>
        <v>28</v>
      </c>
      <c r="O29" s="25" t="b">
        <f>IF(CNC!C$15=I29,A29)</f>
        <v>0</v>
      </c>
      <c r="P29" s="25" t="b">
        <f>IF(CNC!C$16&lt;=J29,A29)</f>
        <v>0</v>
      </c>
      <c r="Q29" s="25" t="b">
        <f>IF(D29=CNC!AR$10,A29)</f>
        <v>0</v>
      </c>
      <c r="R29" s="25" t="b">
        <f t="shared" si="0"/>
        <v>0</v>
      </c>
      <c r="S29" t="e">
        <f t="shared" si="3"/>
        <v>#N/A</v>
      </c>
      <c r="T29" s="24" t="e">
        <f t="shared" si="6"/>
        <v>#N/A</v>
      </c>
      <c r="U29" t="e">
        <f t="shared" si="7"/>
        <v>#N/A</v>
      </c>
      <c r="V29" t="b">
        <f t="shared" si="8"/>
        <v>1</v>
      </c>
      <c r="W29" t="str">
        <f t="shared" si="9"/>
        <v/>
      </c>
    </row>
    <row r="30" spans="1:23" ht="17" customHeight="1">
      <c r="A30" s="4">
        <v>29</v>
      </c>
      <c r="B30" s="162">
        <v>1</v>
      </c>
      <c r="C30" s="162">
        <v>1</v>
      </c>
      <c r="D30" s="162">
        <v>8</v>
      </c>
      <c r="E30" s="133" t="s">
        <v>1976</v>
      </c>
      <c r="F30" s="133">
        <v>8</v>
      </c>
      <c r="G30" s="133">
        <v>8</v>
      </c>
      <c r="H30" s="133">
        <v>3</v>
      </c>
      <c r="I30" s="133">
        <v>20</v>
      </c>
      <c r="J30" s="133">
        <v>20.96</v>
      </c>
      <c r="K30" s="133">
        <v>63</v>
      </c>
      <c r="L30" s="133">
        <v>9.6999999999999993</v>
      </c>
      <c r="M30" s="163">
        <v>206.6</v>
      </c>
      <c r="N30" s="38">
        <f>IF(CNC!C$14&gt;=L30,A30)</f>
        <v>29</v>
      </c>
      <c r="O30" s="25" t="b">
        <f>IF(CNC!C$15=I30,A30)</f>
        <v>0</v>
      </c>
      <c r="P30" s="25">
        <f>IF(CNC!C$16&lt;=J30,A30)</f>
        <v>29</v>
      </c>
      <c r="Q30" s="25" t="b">
        <f>IF(D30=CNC!AR$10,A30)</f>
        <v>0</v>
      </c>
      <c r="R30" s="25" t="b">
        <f t="shared" si="0"/>
        <v>0</v>
      </c>
      <c r="S30" t="e">
        <f t="shared" si="3"/>
        <v>#N/A</v>
      </c>
      <c r="T30" s="24" t="e">
        <f t="shared" si="6"/>
        <v>#N/A</v>
      </c>
      <c r="U30" t="e">
        <f t="shared" si="7"/>
        <v>#N/A</v>
      </c>
      <c r="V30" t="b">
        <f t="shared" si="8"/>
        <v>1</v>
      </c>
      <c r="W30" t="str">
        <f t="shared" si="9"/>
        <v/>
      </c>
    </row>
    <row r="31" spans="1:23" ht="17" customHeight="1">
      <c r="A31" s="4">
        <v>30</v>
      </c>
      <c r="B31" s="162">
        <v>2</v>
      </c>
      <c r="C31" s="162">
        <v>4</v>
      </c>
      <c r="D31" s="162">
        <v>6</v>
      </c>
      <c r="E31" s="133" t="s">
        <v>1977</v>
      </c>
      <c r="F31" s="133">
        <v>8</v>
      </c>
      <c r="G31" s="133">
        <v>8</v>
      </c>
      <c r="H31" s="133">
        <v>3</v>
      </c>
      <c r="I31" s="133">
        <v>18</v>
      </c>
      <c r="J31" s="133">
        <v>16.23</v>
      </c>
      <c r="K31" s="133">
        <v>63</v>
      </c>
      <c r="L31" s="133">
        <v>10.5</v>
      </c>
      <c r="M31" s="163">
        <v>206.6</v>
      </c>
      <c r="N31" s="38" t="b">
        <f>IF(CNC!C$14&gt;=L31,A31)</f>
        <v>0</v>
      </c>
      <c r="O31" s="25" t="b">
        <f>IF(CNC!C$15=I31,A31)</f>
        <v>0</v>
      </c>
      <c r="P31" s="25" t="b">
        <f>IF(CNC!C$16&lt;=J31,A31)</f>
        <v>0</v>
      </c>
      <c r="Q31" s="25" t="b">
        <f>IF(D31=CNC!AR$10,A31)</f>
        <v>0</v>
      </c>
      <c r="R31" s="25" t="b">
        <f t="shared" si="0"/>
        <v>0</v>
      </c>
    </row>
    <row r="32" spans="1:23" ht="17" customHeight="1">
      <c r="A32" s="4">
        <v>31</v>
      </c>
      <c r="B32" s="162">
        <v>2</v>
      </c>
      <c r="C32" s="162">
        <v>4</v>
      </c>
      <c r="D32" s="162">
        <v>5</v>
      </c>
      <c r="E32" s="133" t="s">
        <v>1978</v>
      </c>
      <c r="F32" s="133">
        <v>8</v>
      </c>
      <c r="G32" s="133">
        <v>8</v>
      </c>
      <c r="H32" s="133">
        <v>3</v>
      </c>
      <c r="I32" s="133">
        <v>18</v>
      </c>
      <c r="J32" s="133">
        <v>16.23</v>
      </c>
      <c r="K32" s="133">
        <v>63</v>
      </c>
      <c r="L32" s="133">
        <v>10.5</v>
      </c>
      <c r="M32" s="163">
        <v>206.6</v>
      </c>
      <c r="N32" s="38" t="b">
        <f>IF(CNC!C$14&gt;=L32,A32)</f>
        <v>0</v>
      </c>
      <c r="O32" s="25" t="b">
        <f>IF(CNC!C$15=I32,A32)</f>
        <v>0</v>
      </c>
      <c r="P32" s="25" t="b">
        <f>IF(CNC!C$16&lt;=J32,A32)</f>
        <v>0</v>
      </c>
      <c r="Q32" s="25" t="b">
        <f>IF(D32=CNC!AR$10,A32)</f>
        <v>0</v>
      </c>
      <c r="R32" s="25" t="b">
        <f t="shared" si="0"/>
        <v>0</v>
      </c>
      <c r="U32" s="127" t="s">
        <v>1703</v>
      </c>
      <c r="V32" s="126"/>
    </row>
    <row r="33" spans="1:22" ht="17" customHeight="1">
      <c r="A33" s="4">
        <v>32</v>
      </c>
      <c r="B33" s="162">
        <v>1</v>
      </c>
      <c r="C33" s="162">
        <v>1</v>
      </c>
      <c r="D33" s="162">
        <v>7</v>
      </c>
      <c r="E33" s="133" t="s">
        <v>1979</v>
      </c>
      <c r="F33" s="133">
        <v>8</v>
      </c>
      <c r="G33" s="133">
        <v>8</v>
      </c>
      <c r="H33" s="133">
        <v>3</v>
      </c>
      <c r="I33" s="133">
        <v>18</v>
      </c>
      <c r="J33" s="133">
        <v>16.23</v>
      </c>
      <c r="K33" s="133">
        <v>63</v>
      </c>
      <c r="L33" s="133">
        <v>10.5</v>
      </c>
      <c r="M33" s="163">
        <v>206.6</v>
      </c>
      <c r="N33" s="38" t="b">
        <f>IF(CNC!C$14&gt;=L33,A33)</f>
        <v>0</v>
      </c>
      <c r="O33" s="25" t="b">
        <f>IF(CNC!C$15=I33,A33)</f>
        <v>0</v>
      </c>
      <c r="P33" s="25" t="b">
        <f>IF(CNC!C$16&lt;=J33,A33)</f>
        <v>0</v>
      </c>
      <c r="Q33" s="25" t="b">
        <f>IF(D33=CNC!AR$10,A33)</f>
        <v>0</v>
      </c>
      <c r="R33" s="25" t="b">
        <f t="shared" si="0"/>
        <v>0</v>
      </c>
      <c r="U33" s="126" t="s">
        <v>1702</v>
      </c>
      <c r="V33" s="126"/>
    </row>
    <row r="34" spans="1:22" ht="17" customHeight="1">
      <c r="A34" s="4">
        <v>33</v>
      </c>
      <c r="B34" s="162">
        <v>1</v>
      </c>
      <c r="C34" s="162">
        <v>1</v>
      </c>
      <c r="D34" s="162">
        <v>3</v>
      </c>
      <c r="E34" s="133" t="s">
        <v>1980</v>
      </c>
      <c r="F34" s="133">
        <v>8</v>
      </c>
      <c r="G34" s="133">
        <v>8</v>
      </c>
      <c r="H34" s="133">
        <v>3</v>
      </c>
      <c r="I34" s="133">
        <v>19</v>
      </c>
      <c r="J34" s="133">
        <v>15.37</v>
      </c>
      <c r="K34" s="133">
        <v>63</v>
      </c>
      <c r="L34" s="133">
        <v>10.6</v>
      </c>
      <c r="M34" s="163">
        <v>187.8</v>
      </c>
      <c r="N34" s="38" t="b">
        <f>IF(CNC!C$14&gt;=L34,A34)</f>
        <v>0</v>
      </c>
      <c r="O34" s="25" t="b">
        <f>IF(CNC!C$15=I34,A34)</f>
        <v>0</v>
      </c>
      <c r="P34" s="25" t="b">
        <f>IF(CNC!C$16&lt;=J34,A34)</f>
        <v>0</v>
      </c>
      <c r="Q34" s="25" t="b">
        <f>IF(D34=CNC!AR$10,A34)</f>
        <v>0</v>
      </c>
      <c r="R34" s="25" t="b">
        <f t="shared" si="0"/>
        <v>0</v>
      </c>
      <c r="U34" s="126" t="s">
        <v>2214</v>
      </c>
      <c r="V34" s="126"/>
    </row>
    <row r="35" spans="1:22" ht="17" customHeight="1">
      <c r="A35" s="4">
        <v>34</v>
      </c>
      <c r="B35" s="162">
        <v>2</v>
      </c>
      <c r="C35" s="162">
        <v>4</v>
      </c>
      <c r="D35" s="162">
        <v>4</v>
      </c>
      <c r="E35" s="133" t="s">
        <v>1981</v>
      </c>
      <c r="F35" s="133">
        <v>8</v>
      </c>
      <c r="G35" s="133">
        <v>8</v>
      </c>
      <c r="H35" s="133">
        <v>3</v>
      </c>
      <c r="I35" s="133">
        <v>19</v>
      </c>
      <c r="J35" s="133">
        <v>15.37</v>
      </c>
      <c r="K35" s="133">
        <v>63</v>
      </c>
      <c r="L35" s="133">
        <v>10.6</v>
      </c>
      <c r="M35" s="163">
        <v>206.6</v>
      </c>
      <c r="N35" s="38" t="b">
        <f>IF(CNC!C$14&gt;=L35,A35)</f>
        <v>0</v>
      </c>
      <c r="O35" s="25" t="b">
        <f>IF(CNC!C$15=I35,A35)</f>
        <v>0</v>
      </c>
      <c r="P35" s="25" t="b">
        <f>IF(CNC!C$16&lt;=J35,A35)</f>
        <v>0</v>
      </c>
      <c r="Q35" s="25" t="b">
        <f>IF(D35=CNC!AR$10,A35)</f>
        <v>0</v>
      </c>
      <c r="R35" s="25" t="b">
        <f t="shared" si="0"/>
        <v>0</v>
      </c>
      <c r="U35" s="126" t="s">
        <v>2215</v>
      </c>
      <c r="V35" s="126"/>
    </row>
    <row r="36" spans="1:22" ht="17" customHeight="1">
      <c r="A36" s="4">
        <v>35</v>
      </c>
      <c r="B36" s="162">
        <v>1</v>
      </c>
      <c r="C36" s="162">
        <v>1</v>
      </c>
      <c r="D36" s="162">
        <v>7</v>
      </c>
      <c r="E36" s="133" t="s">
        <v>1982</v>
      </c>
      <c r="F36" s="133">
        <v>6</v>
      </c>
      <c r="G36" s="133">
        <v>6</v>
      </c>
      <c r="H36" s="133">
        <v>3</v>
      </c>
      <c r="I36" s="133">
        <v>27</v>
      </c>
      <c r="J36" s="133">
        <v>12.7</v>
      </c>
      <c r="K36" s="133">
        <v>63</v>
      </c>
      <c r="L36" s="133">
        <v>7</v>
      </c>
      <c r="M36" s="163">
        <v>163.30000000000001</v>
      </c>
      <c r="N36" s="38">
        <f>IF(CNC!C$14&gt;=L36,A36)</f>
        <v>35</v>
      </c>
      <c r="O36" s="25" t="b">
        <f>IF(CNC!C$15=I36,A36)</f>
        <v>0</v>
      </c>
      <c r="P36" s="25" t="b">
        <f>IF(CNC!C$16&lt;=J36,A36)</f>
        <v>0</v>
      </c>
      <c r="Q36" s="25" t="b">
        <f>IF(D36=CNC!AR$10,A36)</f>
        <v>0</v>
      </c>
      <c r="R36" s="25" t="b">
        <f t="shared" si="0"/>
        <v>0</v>
      </c>
      <c r="U36" s="126" t="s">
        <v>2219</v>
      </c>
      <c r="V36" s="126"/>
    </row>
    <row r="37" spans="1:22" ht="17" customHeight="1">
      <c r="A37" s="4">
        <v>36</v>
      </c>
      <c r="B37" s="162">
        <v>1</v>
      </c>
      <c r="C37" s="162">
        <v>1</v>
      </c>
      <c r="D37" s="162">
        <v>3</v>
      </c>
      <c r="E37" s="133" t="s">
        <v>1983</v>
      </c>
      <c r="F37" s="133">
        <v>6</v>
      </c>
      <c r="G37" s="133">
        <v>6</v>
      </c>
      <c r="H37" s="133">
        <v>3</v>
      </c>
      <c r="I37" s="133">
        <v>28</v>
      </c>
      <c r="J37" s="133">
        <v>10.43</v>
      </c>
      <c r="K37" s="133">
        <v>63</v>
      </c>
      <c r="L37" s="133">
        <v>7.8</v>
      </c>
      <c r="M37" s="163">
        <v>148.4</v>
      </c>
      <c r="N37" s="38">
        <f>IF(CNC!C$14&gt;=L37,A37)</f>
        <v>36</v>
      </c>
      <c r="O37" s="25" t="b">
        <f>IF(CNC!C$15=I37,A37)</f>
        <v>0</v>
      </c>
      <c r="P37" s="25" t="b">
        <f>IF(CNC!C$16&lt;=J37,A37)</f>
        <v>0</v>
      </c>
      <c r="Q37" s="25" t="b">
        <f>IF(D37=CNC!AR$10,A37)</f>
        <v>0</v>
      </c>
      <c r="R37" s="25" t="b">
        <f t="shared" si="0"/>
        <v>0</v>
      </c>
      <c r="U37" s="126" t="s">
        <v>2340</v>
      </c>
      <c r="V37" s="126"/>
    </row>
    <row r="38" spans="1:22" ht="17" customHeight="1">
      <c r="A38" s="4">
        <v>37</v>
      </c>
      <c r="B38" s="162">
        <v>2</v>
      </c>
      <c r="C38" s="162">
        <v>4</v>
      </c>
      <c r="D38" s="162">
        <v>4</v>
      </c>
      <c r="E38" s="133" t="s">
        <v>1984</v>
      </c>
      <c r="F38" s="133">
        <v>6</v>
      </c>
      <c r="G38" s="133">
        <v>6</v>
      </c>
      <c r="H38" s="133">
        <v>3</v>
      </c>
      <c r="I38" s="133">
        <v>28</v>
      </c>
      <c r="J38" s="133">
        <v>10.43</v>
      </c>
      <c r="K38" s="133">
        <v>63</v>
      </c>
      <c r="L38" s="133">
        <v>7.8</v>
      </c>
      <c r="M38" s="163">
        <v>163.30000000000001</v>
      </c>
      <c r="N38" s="38">
        <f>IF(CNC!C$14&gt;=L38,A38)</f>
        <v>37</v>
      </c>
      <c r="O38" s="25" t="b">
        <f>IF(CNC!C$15=I38,A38)</f>
        <v>0</v>
      </c>
      <c r="P38" s="25" t="b">
        <f>IF(CNC!C$16&lt;=J38,A38)</f>
        <v>0</v>
      </c>
      <c r="Q38" s="25" t="b">
        <f>IF(D38=CNC!AR$10,A38)</f>
        <v>0</v>
      </c>
      <c r="R38" s="25" t="b">
        <f t="shared" si="0"/>
        <v>0</v>
      </c>
      <c r="U38" s="126"/>
      <c r="V38" s="126"/>
    </row>
    <row r="39" spans="1:22" ht="17" customHeight="1">
      <c r="A39" s="4">
        <v>38</v>
      </c>
      <c r="B39" s="162">
        <v>2</v>
      </c>
      <c r="C39" s="162">
        <v>4</v>
      </c>
      <c r="D39" s="162">
        <v>6</v>
      </c>
      <c r="E39" s="133" t="s">
        <v>1985</v>
      </c>
      <c r="F39" s="133">
        <v>6</v>
      </c>
      <c r="G39" s="133">
        <v>6</v>
      </c>
      <c r="H39" s="133">
        <v>3</v>
      </c>
      <c r="I39" s="133">
        <v>27</v>
      </c>
      <c r="J39" s="133">
        <v>10.82</v>
      </c>
      <c r="K39" s="133">
        <v>63</v>
      </c>
      <c r="L39" s="133">
        <v>7</v>
      </c>
      <c r="M39" s="163">
        <v>163.30000000000001</v>
      </c>
      <c r="N39" s="38">
        <f>IF(CNC!C$14&gt;=L39,A39)</f>
        <v>38</v>
      </c>
      <c r="O39" s="25" t="b">
        <f>IF(CNC!C$15=I39,A39)</f>
        <v>0</v>
      </c>
      <c r="P39" s="25" t="b">
        <f>IF(CNC!C$16&lt;=J39,A39)</f>
        <v>0</v>
      </c>
      <c r="Q39" s="25" t="b">
        <f>IF(D39=CNC!AR$10,A39)</f>
        <v>0</v>
      </c>
      <c r="R39" s="25" t="b">
        <f t="shared" si="0"/>
        <v>0</v>
      </c>
      <c r="U39" s="126" t="s">
        <v>1704</v>
      </c>
      <c r="V39" s="126"/>
    </row>
    <row r="40" spans="1:22" ht="17" customHeight="1">
      <c r="A40" s="4">
        <v>39</v>
      </c>
      <c r="B40" s="162">
        <v>2</v>
      </c>
      <c r="C40" s="162">
        <v>4</v>
      </c>
      <c r="D40" s="162">
        <v>5</v>
      </c>
      <c r="E40" s="133" t="s">
        <v>1986</v>
      </c>
      <c r="F40" s="133">
        <v>6</v>
      </c>
      <c r="G40" s="133">
        <v>6</v>
      </c>
      <c r="H40" s="133">
        <v>3</v>
      </c>
      <c r="I40" s="133">
        <v>27</v>
      </c>
      <c r="J40" s="133">
        <v>10.82</v>
      </c>
      <c r="K40" s="133">
        <v>63</v>
      </c>
      <c r="L40" s="133">
        <v>7</v>
      </c>
      <c r="M40" s="163">
        <v>163.30000000000001</v>
      </c>
      <c r="N40" s="38">
        <f>IF(CNC!C$14&gt;=L40,A40)</f>
        <v>39</v>
      </c>
      <c r="O40" s="25" t="b">
        <f>IF(CNC!C$15=I40,A40)</f>
        <v>0</v>
      </c>
      <c r="P40" s="25" t="b">
        <f>IF(CNC!C$16&lt;=J40,A40)</f>
        <v>0</v>
      </c>
      <c r="Q40" s="25" t="b">
        <f>IF(D40=CNC!AR$10,A40)</f>
        <v>0</v>
      </c>
      <c r="R40" s="25" t="b">
        <f t="shared" si="0"/>
        <v>0</v>
      </c>
      <c r="U40" s="126" t="s">
        <v>2216</v>
      </c>
      <c r="V40" s="126"/>
    </row>
    <row r="41" spans="1:22" ht="17" customHeight="1">
      <c r="A41" s="4">
        <v>40</v>
      </c>
      <c r="B41" s="162">
        <v>5</v>
      </c>
      <c r="C41" s="162">
        <v>2</v>
      </c>
      <c r="D41" s="162">
        <v>1</v>
      </c>
      <c r="E41" s="133" t="s">
        <v>2339</v>
      </c>
      <c r="F41" s="133">
        <v>12</v>
      </c>
      <c r="G41" s="133">
        <v>12</v>
      </c>
      <c r="H41" s="133">
        <v>6</v>
      </c>
      <c r="I41" s="164">
        <v>2</v>
      </c>
      <c r="J41" s="133">
        <v>50</v>
      </c>
      <c r="K41" s="133">
        <v>100</v>
      </c>
      <c r="L41" s="133">
        <v>15.475</v>
      </c>
      <c r="M41" s="163">
        <v>198</v>
      </c>
      <c r="N41" s="38" t="b">
        <f>IF(CNC!C$14&gt;=L41,A41)</f>
        <v>0</v>
      </c>
      <c r="O41" s="25" t="b">
        <f>IF(CNC!C$15=I41,A41)</f>
        <v>0</v>
      </c>
      <c r="P41" s="25">
        <f>IF(CNC!C$16&lt;=J41,A41)</f>
        <v>40</v>
      </c>
      <c r="Q41" s="25">
        <f>IF(D41=CNC!AR$10,A41)</f>
        <v>40</v>
      </c>
      <c r="R41" s="25" t="b">
        <f t="shared" si="0"/>
        <v>0</v>
      </c>
      <c r="U41" s="126" t="s">
        <v>1868</v>
      </c>
      <c r="V41" s="126"/>
    </row>
    <row r="42" spans="1:22" ht="17" customHeight="1">
      <c r="A42" s="4">
        <v>41</v>
      </c>
      <c r="B42" s="162">
        <v>5</v>
      </c>
      <c r="C42" s="162">
        <v>2</v>
      </c>
      <c r="D42" s="162">
        <v>2</v>
      </c>
      <c r="E42" s="133" t="s">
        <v>2339</v>
      </c>
      <c r="F42" s="133">
        <v>12</v>
      </c>
      <c r="G42" s="133">
        <v>12</v>
      </c>
      <c r="H42" s="133">
        <v>6</v>
      </c>
      <c r="I42" s="164">
        <v>11</v>
      </c>
      <c r="J42" s="133">
        <v>50</v>
      </c>
      <c r="K42" s="133">
        <v>100</v>
      </c>
      <c r="L42" s="133">
        <v>15.475</v>
      </c>
      <c r="M42" s="163">
        <v>198</v>
      </c>
      <c r="N42" s="38" t="b">
        <f>IF(CNC!C$14&gt;=L42,A42)</f>
        <v>0</v>
      </c>
      <c r="O42" s="25" t="b">
        <f>IF(CNC!C$15=I42,A42)</f>
        <v>0</v>
      </c>
      <c r="P42" s="25">
        <f>IF(CNC!C$16&lt;=J42,A42)</f>
        <v>41</v>
      </c>
      <c r="Q42" s="25" t="b">
        <f>IF(D42=CNC!AR$10,A42)</f>
        <v>0</v>
      </c>
      <c r="R42" s="25" t="b">
        <f t="shared" si="0"/>
        <v>0</v>
      </c>
      <c r="U42" s="126"/>
      <c r="V42" s="126"/>
    </row>
    <row r="43" spans="1:22" ht="17" customHeight="1">
      <c r="A43" s="4">
        <v>42</v>
      </c>
      <c r="B43" s="162">
        <v>5</v>
      </c>
      <c r="C43" s="162">
        <v>2</v>
      </c>
      <c r="D43" s="162">
        <v>2</v>
      </c>
      <c r="E43" s="133" t="s">
        <v>2339</v>
      </c>
      <c r="F43" s="133">
        <v>12</v>
      </c>
      <c r="G43" s="133">
        <v>12</v>
      </c>
      <c r="H43" s="133">
        <v>6</v>
      </c>
      <c r="I43" s="164">
        <v>12</v>
      </c>
      <c r="J43" s="133">
        <v>50</v>
      </c>
      <c r="K43" s="133">
        <v>100</v>
      </c>
      <c r="L43" s="133">
        <v>15.475</v>
      </c>
      <c r="M43" s="163">
        <v>198</v>
      </c>
      <c r="N43" s="38" t="b">
        <f>IF(CNC!C$14&gt;=L43,A43)</f>
        <v>0</v>
      </c>
      <c r="O43" s="25" t="b">
        <f>IF(CNC!C$15=I43,A43)</f>
        <v>0</v>
      </c>
      <c r="P43" s="25">
        <f>IF(CNC!C$16&lt;=J43,A43)</f>
        <v>42</v>
      </c>
      <c r="Q43" s="25" t="b">
        <f>IF(D43=CNC!AR$10,A43)</f>
        <v>0</v>
      </c>
      <c r="R43" s="25" t="b">
        <f t="shared" si="0"/>
        <v>0</v>
      </c>
      <c r="U43" s="126" t="s">
        <v>1869</v>
      </c>
      <c r="V43" s="126"/>
    </row>
    <row r="44" spans="1:22" ht="17" customHeight="1">
      <c r="A44" s="4">
        <v>43</v>
      </c>
      <c r="B44" s="162">
        <v>5</v>
      </c>
      <c r="C44" s="162">
        <v>2</v>
      </c>
      <c r="D44" s="162">
        <v>1</v>
      </c>
      <c r="E44" s="133" t="s">
        <v>2338</v>
      </c>
      <c r="F44" s="133">
        <v>12</v>
      </c>
      <c r="G44" s="133">
        <v>12</v>
      </c>
      <c r="H44" s="133">
        <v>6</v>
      </c>
      <c r="I44" s="164">
        <v>2</v>
      </c>
      <c r="J44" s="133">
        <v>34</v>
      </c>
      <c r="K44" s="133">
        <v>83</v>
      </c>
      <c r="L44" s="133">
        <v>15.475</v>
      </c>
      <c r="M44" s="163">
        <v>180</v>
      </c>
      <c r="N44" s="38" t="b">
        <f>IF(CNC!C$14&gt;=L44,A44)</f>
        <v>0</v>
      </c>
      <c r="O44" s="25" t="b">
        <f>IF(CNC!C$15=I44,A44)</f>
        <v>0</v>
      </c>
      <c r="P44" s="25">
        <f>IF(CNC!C$16&lt;=J44,A44)</f>
        <v>43</v>
      </c>
      <c r="Q44" s="25">
        <f>IF(D44=CNC!AR$10,A44)</f>
        <v>43</v>
      </c>
      <c r="R44" s="25" t="b">
        <f t="shared" si="0"/>
        <v>0</v>
      </c>
      <c r="U44" s="129" t="s">
        <v>2220</v>
      </c>
      <c r="V44" s="126"/>
    </row>
    <row r="45" spans="1:22" ht="17" customHeight="1">
      <c r="A45" s="4">
        <v>44</v>
      </c>
      <c r="B45" s="162">
        <v>5</v>
      </c>
      <c r="C45" s="162">
        <v>2</v>
      </c>
      <c r="D45" s="162">
        <v>2</v>
      </c>
      <c r="E45" s="133" t="s">
        <v>2338</v>
      </c>
      <c r="F45" s="133">
        <v>12</v>
      </c>
      <c r="G45" s="133">
        <v>12</v>
      </c>
      <c r="H45" s="133">
        <v>6</v>
      </c>
      <c r="I45" s="164">
        <v>11</v>
      </c>
      <c r="J45" s="133">
        <v>34</v>
      </c>
      <c r="K45" s="133">
        <v>83</v>
      </c>
      <c r="L45" s="133">
        <v>15.475</v>
      </c>
      <c r="M45" s="163">
        <v>180</v>
      </c>
      <c r="N45" s="38" t="b">
        <f>IF(CNC!C$14&gt;=L45,A45)</f>
        <v>0</v>
      </c>
      <c r="O45" s="25" t="b">
        <f>IF(CNC!C$15=I45,A45)</f>
        <v>0</v>
      </c>
      <c r="P45" s="25">
        <f>IF(CNC!C$16&lt;=J45,A45)</f>
        <v>44</v>
      </c>
      <c r="Q45" s="25" t="b">
        <f>IF(D45=CNC!AR$10,A45)</f>
        <v>0</v>
      </c>
      <c r="R45" s="25" t="b">
        <f t="shared" si="0"/>
        <v>0</v>
      </c>
      <c r="U45" s="126" t="s">
        <v>2218</v>
      </c>
      <c r="V45" s="126"/>
    </row>
    <row r="46" spans="1:22" ht="17" customHeight="1">
      <c r="A46" s="4">
        <v>45</v>
      </c>
      <c r="B46" s="162">
        <v>5</v>
      </c>
      <c r="C46" s="162">
        <v>2</v>
      </c>
      <c r="D46" s="162">
        <v>2</v>
      </c>
      <c r="E46" s="133" t="s">
        <v>2338</v>
      </c>
      <c r="F46" s="133">
        <v>12</v>
      </c>
      <c r="G46" s="133">
        <v>12</v>
      </c>
      <c r="H46" s="133">
        <v>6</v>
      </c>
      <c r="I46" s="164">
        <v>12</v>
      </c>
      <c r="J46" s="133">
        <v>34</v>
      </c>
      <c r="K46" s="133">
        <v>83</v>
      </c>
      <c r="L46" s="133">
        <v>15.475</v>
      </c>
      <c r="M46" s="163">
        <v>180</v>
      </c>
      <c r="N46" s="38" t="b">
        <f>IF(CNC!C$14&gt;=L46,A46)</f>
        <v>0</v>
      </c>
      <c r="O46" s="25" t="b">
        <f>IF(CNC!C$15=I46,A46)</f>
        <v>0</v>
      </c>
      <c r="P46" s="25">
        <f>IF(CNC!C$16&lt;=J46,A46)</f>
        <v>45</v>
      </c>
      <c r="Q46" s="25" t="b">
        <f>IF(D46=CNC!AR$10,A46)</f>
        <v>0</v>
      </c>
      <c r="R46" s="25" t="b">
        <f t="shared" si="0"/>
        <v>0</v>
      </c>
      <c r="U46" s="129" t="s">
        <v>1870</v>
      </c>
      <c r="V46" s="126"/>
    </row>
    <row r="47" spans="1:22" ht="17" customHeight="1">
      <c r="A47" s="4">
        <v>46</v>
      </c>
      <c r="B47" s="162">
        <v>5</v>
      </c>
      <c r="C47" s="162">
        <v>2</v>
      </c>
      <c r="D47" s="162">
        <v>1</v>
      </c>
      <c r="E47" s="133" t="s">
        <v>2337</v>
      </c>
      <c r="F47" s="133">
        <v>10</v>
      </c>
      <c r="G47" s="133">
        <v>10</v>
      </c>
      <c r="H47" s="133">
        <v>5</v>
      </c>
      <c r="I47" s="164">
        <v>2</v>
      </c>
      <c r="J47" s="133">
        <v>44</v>
      </c>
      <c r="K47" s="133">
        <v>100</v>
      </c>
      <c r="L47" s="133">
        <v>13.6</v>
      </c>
      <c r="M47" s="163">
        <v>168.6</v>
      </c>
      <c r="N47" s="38" t="b">
        <f>IF(CNC!C$14&gt;=L47,A47)</f>
        <v>0</v>
      </c>
      <c r="O47" s="25" t="b">
        <f>IF(CNC!C$15=I47,A47)</f>
        <v>0</v>
      </c>
      <c r="P47" s="25">
        <f>IF(CNC!C$16&lt;=J47,A47)</f>
        <v>46</v>
      </c>
      <c r="Q47" s="25">
        <f>IF(D47=CNC!AR$10,A47)</f>
        <v>46</v>
      </c>
      <c r="R47" s="25" t="b">
        <f t="shared" si="0"/>
        <v>0</v>
      </c>
      <c r="U47" s="126"/>
      <c r="V47" s="126"/>
    </row>
    <row r="48" spans="1:22" ht="17" customHeight="1">
      <c r="A48" s="4">
        <v>47</v>
      </c>
      <c r="B48" s="162">
        <v>5</v>
      </c>
      <c r="C48" s="162">
        <v>2</v>
      </c>
      <c r="D48" s="162">
        <v>2</v>
      </c>
      <c r="E48" s="133" t="s">
        <v>2337</v>
      </c>
      <c r="F48" s="133">
        <v>10</v>
      </c>
      <c r="G48" s="133">
        <v>10</v>
      </c>
      <c r="H48" s="133">
        <v>5</v>
      </c>
      <c r="I48" s="164">
        <v>12</v>
      </c>
      <c r="J48" s="133">
        <v>44</v>
      </c>
      <c r="K48" s="133">
        <v>100</v>
      </c>
      <c r="L48" s="133">
        <v>13.6</v>
      </c>
      <c r="M48" s="163">
        <v>168.6</v>
      </c>
      <c r="N48" s="38" t="b">
        <f>IF(CNC!C$14&gt;=L48,A48)</f>
        <v>0</v>
      </c>
      <c r="O48" s="25" t="b">
        <f>IF(CNC!C$15=I48,A48)</f>
        <v>0</v>
      </c>
      <c r="P48" s="25">
        <f>IF(CNC!C$16&lt;=J48,A48)</f>
        <v>47</v>
      </c>
      <c r="Q48" s="25" t="b">
        <f>IF(D48=CNC!AR$10,A48)</f>
        <v>0</v>
      </c>
      <c r="R48" s="25" t="b">
        <f t="shared" si="0"/>
        <v>0</v>
      </c>
      <c r="U48" s="126" t="s">
        <v>1871</v>
      </c>
      <c r="V48" s="126"/>
    </row>
    <row r="49" spans="1:22" ht="17" customHeight="1">
      <c r="A49" s="4">
        <v>48</v>
      </c>
      <c r="B49" s="162">
        <v>5</v>
      </c>
      <c r="C49" s="162">
        <v>2</v>
      </c>
      <c r="D49" s="162">
        <v>1</v>
      </c>
      <c r="E49" s="133" t="s">
        <v>2336</v>
      </c>
      <c r="F49" s="133">
        <v>10</v>
      </c>
      <c r="G49" s="133">
        <v>10</v>
      </c>
      <c r="H49" s="133">
        <v>5</v>
      </c>
      <c r="I49" s="164">
        <v>2</v>
      </c>
      <c r="J49" s="133">
        <v>30</v>
      </c>
      <c r="K49" s="133">
        <v>76</v>
      </c>
      <c r="L49" s="133">
        <v>13.6</v>
      </c>
      <c r="M49" s="163">
        <v>153.30000000000001</v>
      </c>
      <c r="N49" s="38" t="b">
        <f>IF(CNC!C$14&gt;=L49,A49)</f>
        <v>0</v>
      </c>
      <c r="O49" s="25" t="b">
        <f>IF(CNC!C$15=I49,A49)</f>
        <v>0</v>
      </c>
      <c r="P49" s="25">
        <f>IF(CNC!C$16&lt;=J49,A49)</f>
        <v>48</v>
      </c>
      <c r="Q49" s="25">
        <f>IF(D49=CNC!AR$10,A49)</f>
        <v>48</v>
      </c>
      <c r="R49" s="25" t="b">
        <f t="shared" si="0"/>
        <v>0</v>
      </c>
      <c r="U49" s="126" t="s">
        <v>2217</v>
      </c>
      <c r="V49" s="126"/>
    </row>
    <row r="50" spans="1:22" ht="17" customHeight="1">
      <c r="A50" s="4">
        <v>49</v>
      </c>
      <c r="B50" s="162">
        <v>5</v>
      </c>
      <c r="C50" s="162">
        <v>2</v>
      </c>
      <c r="D50" s="162">
        <v>2</v>
      </c>
      <c r="E50" s="133" t="s">
        <v>2336</v>
      </c>
      <c r="F50" s="133">
        <v>10</v>
      </c>
      <c r="G50" s="133">
        <v>10</v>
      </c>
      <c r="H50" s="133">
        <v>5</v>
      </c>
      <c r="I50" s="164">
        <v>12</v>
      </c>
      <c r="J50" s="133">
        <v>30</v>
      </c>
      <c r="K50" s="133">
        <v>76</v>
      </c>
      <c r="L50" s="133">
        <v>13.6</v>
      </c>
      <c r="M50" s="163">
        <v>153.30000000000001</v>
      </c>
      <c r="N50" s="38" t="b">
        <f>IF(CNC!C$14&gt;=L50,A50)</f>
        <v>0</v>
      </c>
      <c r="O50" s="25" t="b">
        <f>IF(CNC!C$15=I50,A50)</f>
        <v>0</v>
      </c>
      <c r="P50" s="25">
        <f>IF(CNC!C$16&lt;=J50,A50)</f>
        <v>49</v>
      </c>
      <c r="Q50" s="25" t="b">
        <f>IF(D50=CNC!AR$10,A50)</f>
        <v>0</v>
      </c>
      <c r="R50" s="25" t="b">
        <f t="shared" si="0"/>
        <v>0</v>
      </c>
    </row>
    <row r="51" spans="1:22" ht="17" customHeight="1">
      <c r="A51" s="4">
        <v>50</v>
      </c>
      <c r="B51" s="162">
        <v>5</v>
      </c>
      <c r="C51" s="162">
        <v>2</v>
      </c>
      <c r="D51" s="162">
        <v>1</v>
      </c>
      <c r="E51" s="133" t="s">
        <v>2335</v>
      </c>
      <c r="F51" s="133">
        <v>10</v>
      </c>
      <c r="G51" s="133">
        <v>9</v>
      </c>
      <c r="H51" s="133">
        <v>5</v>
      </c>
      <c r="I51" s="164">
        <v>1.75</v>
      </c>
      <c r="J51" s="133">
        <v>38</v>
      </c>
      <c r="K51" s="133">
        <v>100</v>
      </c>
      <c r="L51" s="133">
        <v>10.811999999999999</v>
      </c>
      <c r="M51" s="163">
        <v>168.6</v>
      </c>
      <c r="N51" s="38" t="b">
        <f>IF(CNC!C$14&gt;=L51,A51)</f>
        <v>0</v>
      </c>
      <c r="O51" s="25" t="b">
        <f>IF(CNC!C$15=I51,A51)</f>
        <v>0</v>
      </c>
      <c r="P51" s="25">
        <f>IF(CNC!C$16&lt;=J51,A51)</f>
        <v>50</v>
      </c>
      <c r="Q51" s="25">
        <f>IF(D51=CNC!AR$10,A51)</f>
        <v>50</v>
      </c>
      <c r="R51" s="25" t="b">
        <f t="shared" si="0"/>
        <v>0</v>
      </c>
    </row>
    <row r="52" spans="1:22" ht="17" customHeight="1">
      <c r="A52" s="4">
        <v>51</v>
      </c>
      <c r="B52" s="162">
        <v>5</v>
      </c>
      <c r="C52" s="162">
        <v>2</v>
      </c>
      <c r="D52" s="162">
        <v>2</v>
      </c>
      <c r="E52" s="133" t="s">
        <v>2335</v>
      </c>
      <c r="F52" s="133">
        <v>10</v>
      </c>
      <c r="G52" s="133">
        <v>9</v>
      </c>
      <c r="H52" s="133">
        <v>5</v>
      </c>
      <c r="I52" s="164">
        <v>13</v>
      </c>
      <c r="J52" s="133">
        <v>38</v>
      </c>
      <c r="K52" s="133">
        <v>100</v>
      </c>
      <c r="L52" s="133">
        <v>10.811999999999999</v>
      </c>
      <c r="M52" s="163">
        <v>168.6</v>
      </c>
      <c r="N52" s="38" t="b">
        <f>IF(CNC!C$14&gt;=L52,A52)</f>
        <v>0</v>
      </c>
      <c r="O52" s="25" t="b">
        <f>IF(CNC!C$15=I52,A52)</f>
        <v>0</v>
      </c>
      <c r="P52" s="25">
        <f>IF(CNC!C$16&lt;=J52,A52)</f>
        <v>51</v>
      </c>
      <c r="Q52" s="25" t="b">
        <f>IF(D52=CNC!AR$10,A52)</f>
        <v>0</v>
      </c>
      <c r="R52" s="25" t="b">
        <f t="shared" si="0"/>
        <v>0</v>
      </c>
    </row>
    <row r="53" spans="1:22" ht="17" customHeight="1">
      <c r="A53" s="4">
        <v>52</v>
      </c>
      <c r="B53" s="162">
        <v>5</v>
      </c>
      <c r="C53" s="162">
        <v>2</v>
      </c>
      <c r="D53" s="162">
        <v>2</v>
      </c>
      <c r="E53" s="133" t="s">
        <v>2335</v>
      </c>
      <c r="F53" s="133">
        <v>10</v>
      </c>
      <c r="G53" s="133">
        <v>9</v>
      </c>
      <c r="H53" s="133">
        <v>5</v>
      </c>
      <c r="I53" s="164">
        <v>14</v>
      </c>
      <c r="J53" s="133">
        <v>38</v>
      </c>
      <c r="K53" s="133">
        <v>100</v>
      </c>
      <c r="L53" s="133">
        <v>10.811999999999999</v>
      </c>
      <c r="M53" s="163">
        <v>168.6</v>
      </c>
      <c r="N53" s="38" t="b">
        <f>IF(CNC!C$14&gt;=L53,A53)</f>
        <v>0</v>
      </c>
      <c r="O53" s="25" t="b">
        <f>IF(CNC!C$15=I53,A53)</f>
        <v>0</v>
      </c>
      <c r="P53" s="25">
        <f>IF(CNC!C$16&lt;=J53,A53)</f>
        <v>52</v>
      </c>
      <c r="Q53" s="25" t="b">
        <f>IF(D53=CNC!AR$10,A53)</f>
        <v>0</v>
      </c>
      <c r="R53" s="25" t="b">
        <f t="shared" si="0"/>
        <v>0</v>
      </c>
    </row>
    <row r="54" spans="1:22" ht="17" customHeight="1">
      <c r="A54" s="4">
        <v>53</v>
      </c>
      <c r="B54" s="162">
        <v>5</v>
      </c>
      <c r="C54" s="162">
        <v>2</v>
      </c>
      <c r="D54" s="162">
        <v>1</v>
      </c>
      <c r="E54" s="133" t="s">
        <v>2334</v>
      </c>
      <c r="F54" s="133">
        <v>10</v>
      </c>
      <c r="G54" s="133">
        <v>9</v>
      </c>
      <c r="H54" s="133">
        <v>5</v>
      </c>
      <c r="I54" s="164">
        <v>1.75</v>
      </c>
      <c r="J54" s="133">
        <v>26</v>
      </c>
      <c r="K54" s="133">
        <v>76</v>
      </c>
      <c r="L54" s="133">
        <v>10.811999999999999</v>
      </c>
      <c r="M54" s="163">
        <v>153.30000000000001</v>
      </c>
      <c r="N54" s="38" t="b">
        <f>IF(CNC!C$14&gt;=L54,A54)</f>
        <v>0</v>
      </c>
      <c r="O54" s="25" t="b">
        <f>IF(CNC!C$15=I54,A54)</f>
        <v>0</v>
      </c>
      <c r="P54" s="25">
        <f>IF(CNC!C$16&lt;=J54,A54)</f>
        <v>53</v>
      </c>
      <c r="Q54" s="25">
        <f>IF(D54=CNC!AR$10,A54)</f>
        <v>53</v>
      </c>
      <c r="R54" s="25" t="b">
        <f t="shared" si="0"/>
        <v>0</v>
      </c>
    </row>
    <row r="55" spans="1:22" ht="17" customHeight="1">
      <c r="A55" s="4">
        <v>54</v>
      </c>
      <c r="B55" s="162">
        <v>5</v>
      </c>
      <c r="C55" s="162">
        <v>2</v>
      </c>
      <c r="D55" s="162">
        <v>2</v>
      </c>
      <c r="E55" s="133" t="s">
        <v>2334</v>
      </c>
      <c r="F55" s="133">
        <v>10</v>
      </c>
      <c r="G55" s="133">
        <v>9</v>
      </c>
      <c r="H55" s="133">
        <v>5</v>
      </c>
      <c r="I55" s="164">
        <v>13</v>
      </c>
      <c r="J55" s="133">
        <v>26</v>
      </c>
      <c r="K55" s="133">
        <v>76</v>
      </c>
      <c r="L55" s="133">
        <v>10.811999999999999</v>
      </c>
      <c r="M55" s="163">
        <v>153.30000000000001</v>
      </c>
      <c r="N55" s="38" t="b">
        <f>IF(CNC!C$14&gt;=L55,A55)</f>
        <v>0</v>
      </c>
      <c r="O55" s="25" t="b">
        <f>IF(CNC!C$15=I55,A55)</f>
        <v>0</v>
      </c>
      <c r="P55" s="25">
        <f>IF(CNC!C$16&lt;=J55,A55)</f>
        <v>54</v>
      </c>
      <c r="Q55" s="25" t="b">
        <f>IF(D55=CNC!AR$10,A55)</f>
        <v>0</v>
      </c>
      <c r="R55" s="25" t="b">
        <f t="shared" si="0"/>
        <v>0</v>
      </c>
    </row>
    <row r="56" spans="1:22" ht="17" customHeight="1">
      <c r="A56" s="4">
        <v>55</v>
      </c>
      <c r="B56" s="162">
        <v>5</v>
      </c>
      <c r="C56" s="162">
        <v>2</v>
      </c>
      <c r="D56" s="162">
        <v>2</v>
      </c>
      <c r="E56" s="133" t="s">
        <v>2334</v>
      </c>
      <c r="F56" s="133">
        <v>10</v>
      </c>
      <c r="G56" s="133">
        <v>9</v>
      </c>
      <c r="H56" s="133">
        <v>5</v>
      </c>
      <c r="I56" s="164">
        <v>14</v>
      </c>
      <c r="J56" s="133">
        <v>26</v>
      </c>
      <c r="K56" s="133">
        <v>76</v>
      </c>
      <c r="L56" s="133">
        <v>10.811999999999999</v>
      </c>
      <c r="M56" s="163">
        <v>153.30000000000001</v>
      </c>
      <c r="N56" s="38" t="b">
        <f>IF(CNC!C$14&gt;=L56,A56)</f>
        <v>0</v>
      </c>
      <c r="O56" s="25" t="b">
        <f>IF(CNC!C$15=I56,A56)</f>
        <v>0</v>
      </c>
      <c r="P56" s="25">
        <f>IF(CNC!C$16&lt;=J56,A56)</f>
        <v>55</v>
      </c>
      <c r="Q56" s="25" t="b">
        <f>IF(D56=CNC!AR$10,A56)</f>
        <v>0</v>
      </c>
      <c r="R56" s="25" t="b">
        <f t="shared" si="0"/>
        <v>0</v>
      </c>
    </row>
    <row r="57" spans="1:22" ht="17" customHeight="1">
      <c r="A57" s="4">
        <v>56</v>
      </c>
      <c r="B57" s="162">
        <v>5</v>
      </c>
      <c r="C57" s="162">
        <v>2</v>
      </c>
      <c r="D57" s="162">
        <v>1</v>
      </c>
      <c r="E57" s="133" t="s">
        <v>2333</v>
      </c>
      <c r="F57" s="133">
        <v>8</v>
      </c>
      <c r="G57" s="133">
        <v>7.5</v>
      </c>
      <c r="H57" s="133">
        <v>5</v>
      </c>
      <c r="I57" s="164">
        <v>1.5</v>
      </c>
      <c r="J57" s="133">
        <v>32</v>
      </c>
      <c r="K57" s="133">
        <v>76</v>
      </c>
      <c r="L57" s="133">
        <v>9.2249999999999996</v>
      </c>
      <c r="M57" s="163">
        <v>132.6</v>
      </c>
      <c r="N57" s="38">
        <f>IF(CNC!C$14&gt;=L57,A57)</f>
        <v>56</v>
      </c>
      <c r="O57" s="25">
        <f>IF(CNC!C$15=I57,A57)</f>
        <v>56</v>
      </c>
      <c r="P57" s="25">
        <f>IF(CNC!C$16&lt;=J57,A57)</f>
        <v>56</v>
      </c>
      <c r="Q57" s="25">
        <f>IF(D57=CNC!AR$10,A57)</f>
        <v>56</v>
      </c>
      <c r="R57" s="25">
        <f t="shared" si="0"/>
        <v>56</v>
      </c>
    </row>
    <row r="58" spans="1:22" ht="17" customHeight="1">
      <c r="A58" s="4">
        <v>57</v>
      </c>
      <c r="B58" s="162">
        <v>5</v>
      </c>
      <c r="C58" s="162">
        <v>2</v>
      </c>
      <c r="D58" s="162">
        <v>2</v>
      </c>
      <c r="E58" s="133" t="s">
        <v>2333</v>
      </c>
      <c r="F58" s="133">
        <v>8</v>
      </c>
      <c r="G58" s="133">
        <v>7.5</v>
      </c>
      <c r="H58" s="133">
        <v>5</v>
      </c>
      <c r="I58" s="164">
        <v>16</v>
      </c>
      <c r="J58" s="133">
        <v>32</v>
      </c>
      <c r="K58" s="133">
        <v>76</v>
      </c>
      <c r="L58" s="133">
        <v>9.2249999999999996</v>
      </c>
      <c r="M58" s="163">
        <v>132.6</v>
      </c>
      <c r="N58" s="38">
        <f>IF(CNC!C$14&gt;=L58,A58)</f>
        <v>57</v>
      </c>
      <c r="O58" s="25" t="b">
        <f>IF(CNC!C$15=I58,A58)</f>
        <v>0</v>
      </c>
      <c r="P58" s="25">
        <f>IF(CNC!C$16&lt;=J58,A58)</f>
        <v>57</v>
      </c>
      <c r="Q58" s="25" t="b">
        <f>IF(D58=CNC!AR$10,A58)</f>
        <v>0</v>
      </c>
      <c r="R58" s="25" t="b">
        <f t="shared" si="0"/>
        <v>0</v>
      </c>
    </row>
    <row r="59" spans="1:22" ht="17" customHeight="1">
      <c r="A59" s="4">
        <v>58</v>
      </c>
      <c r="B59" s="162">
        <v>5</v>
      </c>
      <c r="C59" s="162">
        <v>2</v>
      </c>
      <c r="D59" s="162">
        <v>2</v>
      </c>
      <c r="E59" s="133" t="s">
        <v>2333</v>
      </c>
      <c r="F59" s="133">
        <v>8</v>
      </c>
      <c r="G59" s="133">
        <v>7.5</v>
      </c>
      <c r="H59" s="133">
        <v>5</v>
      </c>
      <c r="I59" s="164">
        <v>18</v>
      </c>
      <c r="J59" s="133">
        <v>32</v>
      </c>
      <c r="K59" s="133">
        <v>76</v>
      </c>
      <c r="L59" s="133">
        <v>9.2249999999999996</v>
      </c>
      <c r="M59" s="163">
        <v>132.6</v>
      </c>
      <c r="N59" s="38">
        <f>IF(CNC!C$14&gt;=L59,A59)</f>
        <v>58</v>
      </c>
      <c r="O59" s="25" t="b">
        <f>IF(CNC!C$15=I59,A59)</f>
        <v>0</v>
      </c>
      <c r="P59" s="25">
        <f>IF(CNC!C$16&lt;=J59,A59)</f>
        <v>58</v>
      </c>
      <c r="Q59" s="25" t="b">
        <f>IF(D59=CNC!AR$10,A59)</f>
        <v>0</v>
      </c>
      <c r="R59" s="25" t="b">
        <f t="shared" si="0"/>
        <v>0</v>
      </c>
    </row>
    <row r="60" spans="1:22" ht="17" customHeight="1">
      <c r="A60" s="4">
        <v>59</v>
      </c>
      <c r="B60" s="162">
        <v>5</v>
      </c>
      <c r="C60" s="162">
        <v>2</v>
      </c>
      <c r="D60" s="162">
        <v>1</v>
      </c>
      <c r="E60" s="133" t="s">
        <v>2332</v>
      </c>
      <c r="F60" s="133">
        <v>8</v>
      </c>
      <c r="G60" s="133">
        <v>7.5</v>
      </c>
      <c r="H60" s="133">
        <v>5</v>
      </c>
      <c r="I60" s="164">
        <v>1.5</v>
      </c>
      <c r="J60" s="133">
        <v>22</v>
      </c>
      <c r="K60" s="133">
        <v>63</v>
      </c>
      <c r="L60" s="133">
        <v>9.2249999999999996</v>
      </c>
      <c r="M60" s="163">
        <v>120.5</v>
      </c>
      <c r="N60" s="38">
        <f>IF(CNC!C$14&gt;=L60,A60)</f>
        <v>59</v>
      </c>
      <c r="O60" s="25">
        <f>IF(CNC!C$15=I60,A60)</f>
        <v>59</v>
      </c>
      <c r="P60" s="25">
        <f>IF(CNC!C$16&lt;=J60,A60)</f>
        <v>59</v>
      </c>
      <c r="Q60" s="25">
        <f>IF(D60=CNC!AR$10,A60)</f>
        <v>59</v>
      </c>
      <c r="R60" s="25">
        <f t="shared" si="0"/>
        <v>59</v>
      </c>
    </row>
    <row r="61" spans="1:22" ht="17" customHeight="1">
      <c r="A61" s="4">
        <v>60</v>
      </c>
      <c r="B61" s="162">
        <v>5</v>
      </c>
      <c r="C61" s="162">
        <v>2</v>
      </c>
      <c r="D61" s="162">
        <v>2</v>
      </c>
      <c r="E61" s="133" t="s">
        <v>2332</v>
      </c>
      <c r="F61" s="133">
        <v>8</v>
      </c>
      <c r="G61" s="133">
        <v>7.5</v>
      </c>
      <c r="H61" s="133">
        <v>5</v>
      </c>
      <c r="I61" s="164">
        <v>16</v>
      </c>
      <c r="J61" s="133">
        <v>22</v>
      </c>
      <c r="K61" s="133">
        <v>63</v>
      </c>
      <c r="L61" s="133">
        <v>9.2249999999999996</v>
      </c>
      <c r="M61" s="163">
        <v>120.5</v>
      </c>
      <c r="N61" s="38">
        <f>IF(CNC!C$14&gt;=L61,A61)</f>
        <v>60</v>
      </c>
      <c r="O61" s="25" t="b">
        <f>IF(CNC!C$15=I61,A61)</f>
        <v>0</v>
      </c>
      <c r="P61" s="25">
        <f>IF(CNC!C$16&lt;=J61,A61)</f>
        <v>60</v>
      </c>
      <c r="Q61" s="25" t="b">
        <f>IF(D61=CNC!AR$10,A61)</f>
        <v>0</v>
      </c>
      <c r="R61" s="25" t="b">
        <f t="shared" si="0"/>
        <v>0</v>
      </c>
    </row>
    <row r="62" spans="1:22" ht="17" customHeight="1">
      <c r="A62" s="4">
        <v>61</v>
      </c>
      <c r="B62" s="162">
        <v>5</v>
      </c>
      <c r="C62" s="162">
        <v>2</v>
      </c>
      <c r="D62" s="162">
        <v>2</v>
      </c>
      <c r="E62" s="133" t="s">
        <v>2332</v>
      </c>
      <c r="F62" s="133">
        <v>8</v>
      </c>
      <c r="G62" s="133">
        <v>7.5</v>
      </c>
      <c r="H62" s="133">
        <v>5</v>
      </c>
      <c r="I62" s="164">
        <v>18</v>
      </c>
      <c r="J62" s="133">
        <v>22</v>
      </c>
      <c r="K62" s="133">
        <v>63</v>
      </c>
      <c r="L62" s="133">
        <v>9.2249999999999996</v>
      </c>
      <c r="M62" s="163">
        <v>120.5</v>
      </c>
      <c r="N62" s="38">
        <f>IF(CNC!C$14&gt;=L62,A62)</f>
        <v>61</v>
      </c>
      <c r="O62" s="25" t="b">
        <f>IF(CNC!C$15=I62,A62)</f>
        <v>0</v>
      </c>
      <c r="P62" s="25">
        <f>IF(CNC!C$16&lt;=J62,A62)</f>
        <v>61</v>
      </c>
      <c r="Q62" s="25" t="b">
        <f>IF(D62=CNC!AR$10,A62)</f>
        <v>0</v>
      </c>
      <c r="R62" s="25" t="b">
        <f t="shared" si="0"/>
        <v>0</v>
      </c>
    </row>
    <row r="63" spans="1:22" ht="17" customHeight="1">
      <c r="A63" s="4">
        <v>62</v>
      </c>
      <c r="B63" s="162">
        <v>5</v>
      </c>
      <c r="C63" s="162">
        <v>2</v>
      </c>
      <c r="D63" s="162">
        <v>1</v>
      </c>
      <c r="E63" s="133" t="s">
        <v>2331</v>
      </c>
      <c r="F63" s="133">
        <v>6</v>
      </c>
      <c r="G63" s="133">
        <v>6</v>
      </c>
      <c r="H63" s="133">
        <v>5</v>
      </c>
      <c r="I63" s="164">
        <v>1.25</v>
      </c>
      <c r="J63" s="133">
        <v>25.3</v>
      </c>
      <c r="K63" s="133">
        <v>76</v>
      </c>
      <c r="L63" s="133">
        <v>7.7370000000000001</v>
      </c>
      <c r="M63" s="163">
        <v>104.8</v>
      </c>
      <c r="N63" s="38">
        <f>IF(CNC!C$14&gt;=L63,A63)</f>
        <v>62</v>
      </c>
      <c r="O63" s="25" t="b">
        <f>IF(CNC!C$15=I63,A63)</f>
        <v>0</v>
      </c>
      <c r="P63" s="25">
        <f>IF(CNC!C$16&lt;=J63,A63)</f>
        <v>62</v>
      </c>
      <c r="Q63" s="25">
        <f>IF(D63=CNC!AR$10,A63)</f>
        <v>62</v>
      </c>
      <c r="R63" s="25" t="b">
        <f t="shared" si="0"/>
        <v>0</v>
      </c>
    </row>
    <row r="64" spans="1:22" ht="17" customHeight="1">
      <c r="A64" s="4">
        <v>63</v>
      </c>
      <c r="B64" s="162">
        <v>5</v>
      </c>
      <c r="C64" s="162">
        <v>2</v>
      </c>
      <c r="D64" s="162">
        <v>2</v>
      </c>
      <c r="E64" s="133" t="s">
        <v>2331</v>
      </c>
      <c r="F64" s="133">
        <v>6</v>
      </c>
      <c r="G64" s="133">
        <v>6</v>
      </c>
      <c r="H64" s="133">
        <v>5</v>
      </c>
      <c r="I64" s="164">
        <v>18</v>
      </c>
      <c r="J64" s="133">
        <v>25.3</v>
      </c>
      <c r="K64" s="133">
        <v>76</v>
      </c>
      <c r="L64" s="133">
        <v>7.7370000000000001</v>
      </c>
      <c r="M64" s="163">
        <v>104.8</v>
      </c>
      <c r="N64" s="38">
        <f>IF(CNC!C$14&gt;=L64,A64)</f>
        <v>63</v>
      </c>
      <c r="O64" s="25" t="b">
        <f>IF(CNC!C$15=I64,A64)</f>
        <v>0</v>
      </c>
      <c r="P64" s="25">
        <f>IF(CNC!C$16&lt;=J64,A64)</f>
        <v>63</v>
      </c>
      <c r="Q64" s="25" t="b">
        <f>IF(D64=CNC!AR$10,A64)</f>
        <v>0</v>
      </c>
      <c r="R64" s="25" t="b">
        <f t="shared" si="0"/>
        <v>0</v>
      </c>
    </row>
    <row r="65" spans="1:18" ht="17" customHeight="1">
      <c r="A65" s="4">
        <v>64</v>
      </c>
      <c r="B65" s="162">
        <v>5</v>
      </c>
      <c r="C65" s="162">
        <v>2</v>
      </c>
      <c r="D65" s="162">
        <v>2</v>
      </c>
      <c r="E65" s="133" t="s">
        <v>2331</v>
      </c>
      <c r="F65" s="133">
        <v>6</v>
      </c>
      <c r="G65" s="133">
        <v>6</v>
      </c>
      <c r="H65" s="133">
        <v>5</v>
      </c>
      <c r="I65" s="164">
        <v>20</v>
      </c>
      <c r="J65" s="133">
        <v>25.3</v>
      </c>
      <c r="K65" s="133">
        <v>76</v>
      </c>
      <c r="L65" s="133">
        <v>7.7370000000000001</v>
      </c>
      <c r="M65" s="163">
        <v>104.8</v>
      </c>
      <c r="N65" s="38">
        <f>IF(CNC!C$14&gt;=L65,A65)</f>
        <v>64</v>
      </c>
      <c r="O65" s="25" t="b">
        <f>IF(CNC!C$15=I65,A65)</f>
        <v>0</v>
      </c>
      <c r="P65" s="25">
        <f>IF(CNC!C$16&lt;=J65,A65)</f>
        <v>64</v>
      </c>
      <c r="Q65" s="25" t="b">
        <f>IF(D65=CNC!AR$10,A65)</f>
        <v>0</v>
      </c>
      <c r="R65" s="25" t="b">
        <f t="shared" si="0"/>
        <v>0</v>
      </c>
    </row>
    <row r="66" spans="1:18" ht="17" customHeight="1">
      <c r="A66" s="4">
        <v>65</v>
      </c>
      <c r="B66" s="162">
        <v>5</v>
      </c>
      <c r="C66" s="162">
        <v>2</v>
      </c>
      <c r="D66" s="162">
        <v>1</v>
      </c>
      <c r="E66" s="133" t="s">
        <v>2330</v>
      </c>
      <c r="F66" s="133">
        <v>6</v>
      </c>
      <c r="G66" s="133">
        <v>6</v>
      </c>
      <c r="H66" s="133">
        <v>5</v>
      </c>
      <c r="I66" s="164">
        <v>1.25</v>
      </c>
      <c r="J66" s="133">
        <v>17.3</v>
      </c>
      <c r="K66" s="133">
        <v>63</v>
      </c>
      <c r="L66" s="133">
        <v>7.7370000000000001</v>
      </c>
      <c r="M66" s="163">
        <v>95.3</v>
      </c>
      <c r="N66" s="38">
        <f>IF(CNC!C$14&gt;=L66,A66)</f>
        <v>65</v>
      </c>
      <c r="O66" s="25" t="b">
        <f>IF(CNC!C$15=I66,A66)</f>
        <v>0</v>
      </c>
      <c r="P66" s="25" t="b">
        <f>IF(CNC!C$16&lt;=J66,A66)</f>
        <v>0</v>
      </c>
      <c r="Q66" s="25">
        <f>IF(D66=CNC!AR$10,A66)</f>
        <v>65</v>
      </c>
      <c r="R66" s="25" t="b">
        <f t="shared" ref="R66:R129" si="10">IF(N66=FALSE,FALSE,IF(O66=FALSE,FALSE,IF(P66=FALSE,FALSE,IF(Q66=FALSE,FALSE,A66))))</f>
        <v>0</v>
      </c>
    </row>
    <row r="67" spans="1:18" ht="17" customHeight="1">
      <c r="A67" s="4">
        <v>66</v>
      </c>
      <c r="B67" s="162">
        <v>5</v>
      </c>
      <c r="C67" s="162">
        <v>2</v>
      </c>
      <c r="D67" s="162">
        <v>2</v>
      </c>
      <c r="E67" s="133" t="s">
        <v>2330</v>
      </c>
      <c r="F67" s="133">
        <v>6</v>
      </c>
      <c r="G67" s="133">
        <v>6</v>
      </c>
      <c r="H67" s="133">
        <v>5</v>
      </c>
      <c r="I67" s="164">
        <v>18</v>
      </c>
      <c r="J67" s="133">
        <v>17.3</v>
      </c>
      <c r="K67" s="133">
        <v>63</v>
      </c>
      <c r="L67" s="133">
        <v>7.7370000000000001</v>
      </c>
      <c r="M67" s="163">
        <v>95.3</v>
      </c>
      <c r="N67" s="38">
        <f>IF(CNC!C$14&gt;=L67,A67)</f>
        <v>66</v>
      </c>
      <c r="O67" s="25" t="b">
        <f>IF(CNC!C$15=I67,A67)</f>
        <v>0</v>
      </c>
      <c r="P67" s="25" t="b">
        <f>IF(CNC!C$16&lt;=J67,A67)</f>
        <v>0</v>
      </c>
      <c r="Q67" s="25" t="b">
        <f>IF(D67=CNC!AR$10,A67)</f>
        <v>0</v>
      </c>
      <c r="R67" s="25" t="b">
        <f t="shared" si="10"/>
        <v>0</v>
      </c>
    </row>
    <row r="68" spans="1:18" ht="17" customHeight="1">
      <c r="A68" s="4">
        <v>67</v>
      </c>
      <c r="B68" s="162">
        <v>5</v>
      </c>
      <c r="C68" s="162">
        <v>2</v>
      </c>
      <c r="D68" s="162">
        <v>2</v>
      </c>
      <c r="E68" s="133" t="s">
        <v>2330</v>
      </c>
      <c r="F68" s="133">
        <v>6</v>
      </c>
      <c r="G68" s="133">
        <v>6</v>
      </c>
      <c r="H68" s="133">
        <v>5</v>
      </c>
      <c r="I68" s="164">
        <v>20</v>
      </c>
      <c r="J68" s="133">
        <v>17.3</v>
      </c>
      <c r="K68" s="133">
        <v>63</v>
      </c>
      <c r="L68" s="133">
        <v>7.7370000000000001</v>
      </c>
      <c r="M68" s="163">
        <v>95.3</v>
      </c>
      <c r="N68" s="38">
        <f>IF(CNC!C$14&gt;=L68,A68)</f>
        <v>67</v>
      </c>
      <c r="O68" s="25" t="b">
        <f>IF(CNC!C$15=I68,A68)</f>
        <v>0</v>
      </c>
      <c r="P68" s="25" t="b">
        <f>IF(CNC!C$16&lt;=J68,A68)</f>
        <v>0</v>
      </c>
      <c r="Q68" s="25" t="b">
        <f>IF(D68=CNC!AR$10,A68)</f>
        <v>0</v>
      </c>
      <c r="R68" s="25" t="b">
        <f t="shared" si="10"/>
        <v>0</v>
      </c>
    </row>
    <row r="69" spans="1:18" ht="17" customHeight="1">
      <c r="A69" s="4">
        <v>68</v>
      </c>
      <c r="B69" s="162">
        <v>5</v>
      </c>
      <c r="C69" s="162">
        <v>2</v>
      </c>
      <c r="D69" s="162">
        <v>1</v>
      </c>
      <c r="E69" s="133" t="s">
        <v>2329</v>
      </c>
      <c r="F69" s="133">
        <v>6</v>
      </c>
      <c r="G69" s="133">
        <v>4.5</v>
      </c>
      <c r="H69" s="133">
        <v>4</v>
      </c>
      <c r="I69" s="164">
        <v>1</v>
      </c>
      <c r="J69" s="133">
        <v>19</v>
      </c>
      <c r="K69" s="133">
        <v>76</v>
      </c>
      <c r="L69" s="133">
        <v>5.8</v>
      </c>
      <c r="M69" s="163">
        <v>104.8</v>
      </c>
      <c r="N69" s="38">
        <f>IF(CNC!C$14&gt;=L69,A69)</f>
        <v>68</v>
      </c>
      <c r="O69" s="25" t="b">
        <f>IF(CNC!C$15=I69,A69)</f>
        <v>0</v>
      </c>
      <c r="P69" s="25" t="b">
        <f>IF(CNC!C$16&lt;=J69,A69)</f>
        <v>0</v>
      </c>
      <c r="Q69" s="25">
        <f>IF(D69=CNC!AR$10,A69)</f>
        <v>68</v>
      </c>
      <c r="R69" s="25" t="b">
        <f t="shared" si="10"/>
        <v>0</v>
      </c>
    </row>
    <row r="70" spans="1:18" ht="17" customHeight="1">
      <c r="A70" s="4">
        <v>69</v>
      </c>
      <c r="B70" s="162">
        <v>5</v>
      </c>
      <c r="C70" s="162">
        <v>2</v>
      </c>
      <c r="D70" s="162">
        <v>1</v>
      </c>
      <c r="E70" s="133" t="s">
        <v>2329</v>
      </c>
      <c r="F70" s="133">
        <v>6</v>
      </c>
      <c r="G70" s="133">
        <v>4.5</v>
      </c>
      <c r="H70" s="133">
        <v>4</v>
      </c>
      <c r="I70" s="164">
        <v>1.25</v>
      </c>
      <c r="J70" s="133">
        <v>19</v>
      </c>
      <c r="K70" s="133">
        <v>76</v>
      </c>
      <c r="L70" s="133">
        <v>5.8</v>
      </c>
      <c r="M70" s="163">
        <v>104.8</v>
      </c>
      <c r="N70" s="38">
        <f>IF(CNC!C$14&gt;=L70,A70)</f>
        <v>69</v>
      </c>
      <c r="O70" s="25" t="b">
        <f>IF(CNC!C$15=I70,A70)</f>
        <v>0</v>
      </c>
      <c r="P70" s="25" t="b">
        <f>IF(CNC!C$16&lt;=J70,A70)</f>
        <v>0</v>
      </c>
      <c r="Q70" s="25">
        <f>IF(D70=CNC!AR$10,A70)</f>
        <v>69</v>
      </c>
      <c r="R70" s="25" t="b">
        <f t="shared" si="10"/>
        <v>0</v>
      </c>
    </row>
    <row r="71" spans="1:18" ht="17" customHeight="1">
      <c r="A71" s="4">
        <v>70</v>
      </c>
      <c r="B71" s="162">
        <v>5</v>
      </c>
      <c r="C71" s="162">
        <v>2</v>
      </c>
      <c r="D71" s="162">
        <v>2</v>
      </c>
      <c r="E71" s="133" t="s">
        <v>2329</v>
      </c>
      <c r="F71" s="133">
        <v>6</v>
      </c>
      <c r="G71" s="133">
        <v>4.5</v>
      </c>
      <c r="H71" s="133">
        <v>4</v>
      </c>
      <c r="I71" s="164">
        <v>20</v>
      </c>
      <c r="J71" s="133">
        <v>19</v>
      </c>
      <c r="K71" s="133">
        <v>76</v>
      </c>
      <c r="L71" s="133">
        <v>5.8</v>
      </c>
      <c r="M71" s="163">
        <v>104.8</v>
      </c>
      <c r="N71" s="38">
        <f>IF(CNC!C$14&gt;=L71,A71)</f>
        <v>70</v>
      </c>
      <c r="O71" s="25" t="b">
        <f>IF(CNC!C$15=I71,A71)</f>
        <v>0</v>
      </c>
      <c r="P71" s="25" t="b">
        <f>IF(CNC!C$16&lt;=J71,A71)</f>
        <v>0</v>
      </c>
      <c r="Q71" s="25" t="b">
        <f>IF(D71=CNC!AR$10,A71)</f>
        <v>0</v>
      </c>
      <c r="R71" s="25" t="b">
        <f t="shared" si="10"/>
        <v>0</v>
      </c>
    </row>
    <row r="72" spans="1:18" ht="17" customHeight="1">
      <c r="A72" s="4">
        <v>71</v>
      </c>
      <c r="B72" s="162">
        <v>5</v>
      </c>
      <c r="C72" s="162">
        <v>2</v>
      </c>
      <c r="D72" s="162">
        <v>2</v>
      </c>
      <c r="E72" s="133" t="s">
        <v>2329</v>
      </c>
      <c r="F72" s="133">
        <v>6</v>
      </c>
      <c r="G72" s="133">
        <v>4.5</v>
      </c>
      <c r="H72" s="133">
        <v>4</v>
      </c>
      <c r="I72" s="164">
        <v>24</v>
      </c>
      <c r="J72" s="133">
        <v>19</v>
      </c>
      <c r="K72" s="133">
        <v>76</v>
      </c>
      <c r="L72" s="133">
        <v>5.8</v>
      </c>
      <c r="M72" s="163">
        <v>104.8</v>
      </c>
      <c r="N72" s="38">
        <f>IF(CNC!C$14&gt;=L72,A72)</f>
        <v>71</v>
      </c>
      <c r="O72" s="25" t="b">
        <f>IF(CNC!C$15=I72,A72)</f>
        <v>0</v>
      </c>
      <c r="P72" s="25" t="b">
        <f>IF(CNC!C$16&lt;=J72,A72)</f>
        <v>0</v>
      </c>
      <c r="Q72" s="25" t="b">
        <f>IF(D72=CNC!AR$10,A72)</f>
        <v>0</v>
      </c>
      <c r="R72" s="25" t="b">
        <f t="shared" si="10"/>
        <v>0</v>
      </c>
    </row>
    <row r="73" spans="1:18" ht="17" customHeight="1">
      <c r="A73" s="4">
        <v>72</v>
      </c>
      <c r="B73" s="162">
        <v>5</v>
      </c>
      <c r="C73" s="162">
        <v>2</v>
      </c>
      <c r="D73" s="162">
        <v>1</v>
      </c>
      <c r="E73" s="133" t="s">
        <v>2328</v>
      </c>
      <c r="F73" s="133">
        <v>6</v>
      </c>
      <c r="G73" s="133">
        <v>4.5</v>
      </c>
      <c r="H73" s="133">
        <v>4</v>
      </c>
      <c r="I73" s="164">
        <v>1</v>
      </c>
      <c r="J73" s="133">
        <v>13</v>
      </c>
      <c r="K73" s="133">
        <v>63</v>
      </c>
      <c r="L73" s="133">
        <v>5.8</v>
      </c>
      <c r="M73" s="163">
        <v>95.3</v>
      </c>
      <c r="N73" s="38">
        <f>IF(CNC!C$14&gt;=L73,A73)</f>
        <v>72</v>
      </c>
      <c r="O73" s="25" t="b">
        <f>IF(CNC!C$15=I73,A73)</f>
        <v>0</v>
      </c>
      <c r="P73" s="25" t="b">
        <f>IF(CNC!C$16&lt;=J73,A73)</f>
        <v>0</v>
      </c>
      <c r="Q73" s="25">
        <f>IF(D73=CNC!AR$10,A73)</f>
        <v>72</v>
      </c>
      <c r="R73" s="25" t="b">
        <f t="shared" si="10"/>
        <v>0</v>
      </c>
    </row>
    <row r="74" spans="1:18" ht="17" customHeight="1">
      <c r="A74" s="4">
        <v>73</v>
      </c>
      <c r="B74" s="162">
        <v>5</v>
      </c>
      <c r="C74" s="162">
        <v>2</v>
      </c>
      <c r="D74" s="162">
        <v>1</v>
      </c>
      <c r="E74" s="133" t="s">
        <v>2328</v>
      </c>
      <c r="F74" s="133">
        <v>6</v>
      </c>
      <c r="G74" s="133">
        <v>4.5</v>
      </c>
      <c r="H74" s="133">
        <v>4</v>
      </c>
      <c r="I74" s="164">
        <v>1.25</v>
      </c>
      <c r="J74" s="133">
        <v>13</v>
      </c>
      <c r="K74" s="133">
        <v>63</v>
      </c>
      <c r="L74" s="133">
        <v>5.8</v>
      </c>
      <c r="M74" s="163">
        <v>95.3</v>
      </c>
      <c r="N74" s="38">
        <f>IF(CNC!C$14&gt;=L74,A74)</f>
        <v>73</v>
      </c>
      <c r="O74" s="25" t="b">
        <f>IF(CNC!C$15=I74,A74)</f>
        <v>0</v>
      </c>
      <c r="P74" s="25" t="b">
        <f>IF(CNC!C$16&lt;=J74,A74)</f>
        <v>0</v>
      </c>
      <c r="Q74" s="25">
        <f>IF(D74=CNC!AR$10,A74)</f>
        <v>73</v>
      </c>
      <c r="R74" s="25" t="b">
        <f t="shared" si="10"/>
        <v>0</v>
      </c>
    </row>
    <row r="75" spans="1:18" ht="17" customHeight="1">
      <c r="A75" s="4">
        <v>74</v>
      </c>
      <c r="B75" s="162">
        <v>5</v>
      </c>
      <c r="C75" s="162">
        <v>2</v>
      </c>
      <c r="D75" s="162">
        <v>2</v>
      </c>
      <c r="E75" s="133" t="s">
        <v>2328</v>
      </c>
      <c r="F75" s="133">
        <v>6</v>
      </c>
      <c r="G75" s="133">
        <v>4.5</v>
      </c>
      <c r="H75" s="133">
        <v>4</v>
      </c>
      <c r="I75" s="164">
        <v>20</v>
      </c>
      <c r="J75" s="133">
        <v>13</v>
      </c>
      <c r="K75" s="133">
        <v>63</v>
      </c>
      <c r="L75" s="133">
        <v>5.8</v>
      </c>
      <c r="M75" s="163">
        <v>95.3</v>
      </c>
      <c r="N75" s="38">
        <f>IF(CNC!C$14&gt;=L75,A75)</f>
        <v>74</v>
      </c>
      <c r="O75" s="25" t="b">
        <f>IF(CNC!C$15=I75,A75)</f>
        <v>0</v>
      </c>
      <c r="P75" s="25" t="b">
        <f>IF(CNC!C$16&lt;=J75,A75)</f>
        <v>0</v>
      </c>
      <c r="Q75" s="25" t="b">
        <f>IF(D75=CNC!AR$10,A75)</f>
        <v>0</v>
      </c>
      <c r="R75" s="25" t="b">
        <f t="shared" si="10"/>
        <v>0</v>
      </c>
    </row>
    <row r="76" spans="1:18" ht="17" customHeight="1">
      <c r="A76" s="4">
        <v>75</v>
      </c>
      <c r="B76" s="162">
        <v>5</v>
      </c>
      <c r="C76" s="162">
        <v>2</v>
      </c>
      <c r="D76" s="162">
        <v>2</v>
      </c>
      <c r="E76" s="133" t="s">
        <v>2328</v>
      </c>
      <c r="F76" s="133">
        <v>6</v>
      </c>
      <c r="G76" s="133">
        <v>4.5</v>
      </c>
      <c r="H76" s="133">
        <v>4</v>
      </c>
      <c r="I76" s="164">
        <v>24</v>
      </c>
      <c r="J76" s="133">
        <v>13</v>
      </c>
      <c r="K76" s="133">
        <v>63</v>
      </c>
      <c r="L76" s="133">
        <v>5.8</v>
      </c>
      <c r="M76" s="163">
        <v>95.3</v>
      </c>
      <c r="N76" s="38">
        <f>IF(CNC!C$14&gt;=L76,A76)</f>
        <v>75</v>
      </c>
      <c r="O76" s="25" t="b">
        <f>IF(CNC!C$15=I76,A76)</f>
        <v>0</v>
      </c>
      <c r="P76" s="25" t="b">
        <f>IF(CNC!C$16&lt;=J76,A76)</f>
        <v>0</v>
      </c>
      <c r="Q76" s="25" t="b">
        <f>IF(D76=CNC!AR$10,A76)</f>
        <v>0</v>
      </c>
      <c r="R76" s="25" t="b">
        <f t="shared" si="10"/>
        <v>0</v>
      </c>
    </row>
    <row r="77" spans="1:18" ht="17" customHeight="1">
      <c r="A77" s="4">
        <v>76</v>
      </c>
      <c r="B77" s="162">
        <v>5</v>
      </c>
      <c r="C77" s="162">
        <v>2</v>
      </c>
      <c r="D77" s="162">
        <v>1</v>
      </c>
      <c r="E77" s="133" t="s">
        <v>2327</v>
      </c>
      <c r="F77" s="133">
        <v>4</v>
      </c>
      <c r="G77" s="133">
        <v>4</v>
      </c>
      <c r="H77" s="133">
        <v>4</v>
      </c>
      <c r="I77" s="164">
        <v>0.75</v>
      </c>
      <c r="J77" s="133">
        <v>16</v>
      </c>
      <c r="K77" s="133">
        <v>50</v>
      </c>
      <c r="L77" s="133">
        <v>4.8</v>
      </c>
      <c r="M77" s="163">
        <v>90.2</v>
      </c>
      <c r="N77" s="38">
        <f>IF(CNC!C$14&gt;=L77,A77)</f>
        <v>76</v>
      </c>
      <c r="O77" s="25" t="b">
        <f>IF(CNC!C$15=I77,A77)</f>
        <v>0</v>
      </c>
      <c r="P77" s="25" t="b">
        <f>IF(CNC!C$16&lt;=J77,A77)</f>
        <v>0</v>
      </c>
      <c r="Q77" s="25">
        <f>IF(D77=CNC!AR$10,A77)</f>
        <v>76</v>
      </c>
      <c r="R77" s="25" t="b">
        <f t="shared" si="10"/>
        <v>0</v>
      </c>
    </row>
    <row r="78" spans="1:18" ht="17" customHeight="1">
      <c r="A78" s="4">
        <v>77</v>
      </c>
      <c r="B78" s="162">
        <v>5</v>
      </c>
      <c r="C78" s="162">
        <v>2</v>
      </c>
      <c r="D78" s="162">
        <v>1</v>
      </c>
      <c r="E78" s="133" t="s">
        <v>2327</v>
      </c>
      <c r="F78" s="133">
        <v>4</v>
      </c>
      <c r="G78" s="133">
        <v>4</v>
      </c>
      <c r="H78" s="133">
        <v>4</v>
      </c>
      <c r="I78" s="164">
        <v>0.8</v>
      </c>
      <c r="J78" s="133">
        <v>16</v>
      </c>
      <c r="K78" s="133">
        <v>50</v>
      </c>
      <c r="L78" s="133">
        <v>4.8</v>
      </c>
      <c r="M78" s="163">
        <v>90.2</v>
      </c>
      <c r="N78" s="38">
        <f>IF(CNC!C$14&gt;=L78,A78)</f>
        <v>77</v>
      </c>
      <c r="O78" s="25" t="b">
        <f>IF(CNC!C$15=I78,A78)</f>
        <v>0</v>
      </c>
      <c r="P78" s="25" t="b">
        <f>IF(CNC!C$16&lt;=J78,A78)</f>
        <v>0</v>
      </c>
      <c r="Q78" s="25">
        <f>IF(D78=CNC!AR$10,A78)</f>
        <v>77</v>
      </c>
      <c r="R78" s="25" t="b">
        <f t="shared" si="10"/>
        <v>0</v>
      </c>
    </row>
    <row r="79" spans="1:18" ht="17" customHeight="1">
      <c r="A79" s="4">
        <v>78</v>
      </c>
      <c r="B79" s="162">
        <v>5</v>
      </c>
      <c r="C79" s="162">
        <v>2</v>
      </c>
      <c r="D79" s="162">
        <v>1</v>
      </c>
      <c r="E79" s="133" t="s">
        <v>2327</v>
      </c>
      <c r="F79" s="133">
        <v>4</v>
      </c>
      <c r="G79" s="133">
        <v>4</v>
      </c>
      <c r="H79" s="133">
        <v>4</v>
      </c>
      <c r="I79" s="164">
        <v>1</v>
      </c>
      <c r="J79" s="133">
        <v>16</v>
      </c>
      <c r="K79" s="133">
        <v>50</v>
      </c>
      <c r="L79" s="133">
        <v>4.8</v>
      </c>
      <c r="M79" s="163">
        <v>90.2</v>
      </c>
      <c r="N79" s="38">
        <f>IF(CNC!C$14&gt;=L79,A79)</f>
        <v>78</v>
      </c>
      <c r="O79" s="25" t="b">
        <f>IF(CNC!C$15=I79,A79)</f>
        <v>0</v>
      </c>
      <c r="P79" s="25" t="b">
        <f>IF(CNC!C$16&lt;=J79,A79)</f>
        <v>0</v>
      </c>
      <c r="Q79" s="25">
        <f>IF(D79=CNC!AR$10,A79)</f>
        <v>78</v>
      </c>
      <c r="R79" s="25" t="b">
        <f t="shared" si="10"/>
        <v>0</v>
      </c>
    </row>
    <row r="80" spans="1:18" ht="17" customHeight="1">
      <c r="A80" s="4">
        <v>79</v>
      </c>
      <c r="B80" s="162">
        <v>5</v>
      </c>
      <c r="C80" s="162">
        <v>2</v>
      </c>
      <c r="D80" s="162">
        <v>2</v>
      </c>
      <c r="E80" s="133" t="s">
        <v>2327</v>
      </c>
      <c r="F80" s="133">
        <v>4</v>
      </c>
      <c r="G80" s="133">
        <v>4</v>
      </c>
      <c r="H80" s="133">
        <v>4</v>
      </c>
      <c r="I80" s="164">
        <v>24</v>
      </c>
      <c r="J80" s="133">
        <v>16</v>
      </c>
      <c r="K80" s="133">
        <v>50</v>
      </c>
      <c r="L80" s="133">
        <v>4.8</v>
      </c>
      <c r="M80" s="163">
        <v>90.2</v>
      </c>
      <c r="N80" s="38">
        <f>IF(CNC!C$14&gt;=L80,A80)</f>
        <v>79</v>
      </c>
      <c r="O80" s="25" t="b">
        <f>IF(CNC!C$15=I80,A80)</f>
        <v>0</v>
      </c>
      <c r="P80" s="25" t="b">
        <f>IF(CNC!C$16&lt;=J80,A80)</f>
        <v>0</v>
      </c>
      <c r="Q80" s="25" t="b">
        <f>IF(D80=CNC!AR$10,A80)</f>
        <v>0</v>
      </c>
      <c r="R80" s="25" t="b">
        <f t="shared" si="10"/>
        <v>0</v>
      </c>
    </row>
    <row r="81" spans="1:18" ht="17" customHeight="1">
      <c r="A81" s="4">
        <v>80</v>
      </c>
      <c r="B81" s="162">
        <v>5</v>
      </c>
      <c r="C81" s="162">
        <v>2</v>
      </c>
      <c r="D81" s="162">
        <v>2</v>
      </c>
      <c r="E81" s="133" t="s">
        <v>2327</v>
      </c>
      <c r="F81" s="133">
        <v>4</v>
      </c>
      <c r="G81" s="133">
        <v>4</v>
      </c>
      <c r="H81" s="133">
        <v>4</v>
      </c>
      <c r="I81" s="164">
        <v>28</v>
      </c>
      <c r="J81" s="133">
        <v>16</v>
      </c>
      <c r="K81" s="133">
        <v>50</v>
      </c>
      <c r="L81" s="133">
        <v>4.8</v>
      </c>
      <c r="M81" s="163">
        <v>90.2</v>
      </c>
      <c r="N81" s="38">
        <f>IF(CNC!C$14&gt;=L81,A81)</f>
        <v>80</v>
      </c>
      <c r="O81" s="25" t="b">
        <f>IF(CNC!C$15=I81,A81)</f>
        <v>0</v>
      </c>
      <c r="P81" s="25" t="b">
        <f>IF(CNC!C$16&lt;=J81,A81)</f>
        <v>0</v>
      </c>
      <c r="Q81" s="25" t="b">
        <f>IF(D81=CNC!AR$10,A81)</f>
        <v>0</v>
      </c>
      <c r="R81" s="25" t="b">
        <f t="shared" si="10"/>
        <v>0</v>
      </c>
    </row>
    <row r="82" spans="1:18" ht="17" customHeight="1">
      <c r="A82" s="4">
        <v>81</v>
      </c>
      <c r="B82" s="162">
        <v>5</v>
      </c>
      <c r="C82" s="162">
        <v>2</v>
      </c>
      <c r="D82" s="162">
        <v>2</v>
      </c>
      <c r="E82" s="133" t="s">
        <v>2327</v>
      </c>
      <c r="F82" s="133">
        <v>4</v>
      </c>
      <c r="G82" s="133">
        <v>4</v>
      </c>
      <c r="H82" s="133">
        <v>4</v>
      </c>
      <c r="I82" s="164">
        <v>32</v>
      </c>
      <c r="J82" s="133">
        <v>16</v>
      </c>
      <c r="K82" s="133">
        <v>50</v>
      </c>
      <c r="L82" s="133">
        <v>4.8</v>
      </c>
      <c r="M82" s="163">
        <v>90.2</v>
      </c>
      <c r="N82" s="38">
        <f>IF(CNC!C$14&gt;=L82,A82)</f>
        <v>81</v>
      </c>
      <c r="O82" s="25" t="b">
        <f>IF(CNC!C$15=I82,A82)</f>
        <v>0</v>
      </c>
      <c r="P82" s="25" t="b">
        <f>IF(CNC!C$16&lt;=J82,A82)</f>
        <v>0</v>
      </c>
      <c r="Q82" s="25" t="b">
        <f>IF(D82=CNC!AR$10,A82)</f>
        <v>0</v>
      </c>
      <c r="R82" s="25" t="b">
        <f t="shared" si="10"/>
        <v>0</v>
      </c>
    </row>
    <row r="83" spans="1:18" ht="17" customHeight="1">
      <c r="A83" s="4">
        <v>82</v>
      </c>
      <c r="B83" s="162">
        <v>5</v>
      </c>
      <c r="C83" s="162">
        <v>2</v>
      </c>
      <c r="D83" s="162">
        <v>1</v>
      </c>
      <c r="E83" s="133" t="s">
        <v>2326</v>
      </c>
      <c r="F83" s="133">
        <v>4</v>
      </c>
      <c r="G83" s="133">
        <v>4</v>
      </c>
      <c r="H83" s="133">
        <v>4</v>
      </c>
      <c r="I83" s="164">
        <v>0.75</v>
      </c>
      <c r="J83" s="133">
        <v>11</v>
      </c>
      <c r="K83" s="133">
        <v>50</v>
      </c>
      <c r="L83" s="133">
        <v>4.8</v>
      </c>
      <c r="M83" s="163">
        <v>82</v>
      </c>
      <c r="N83" s="38">
        <f>IF(CNC!C$14&gt;=L83,A83)</f>
        <v>82</v>
      </c>
      <c r="O83" s="25" t="b">
        <f>IF(CNC!C$15=I83,A83)</f>
        <v>0</v>
      </c>
      <c r="P83" s="25" t="b">
        <f>IF(CNC!C$16&lt;=J83,A83)</f>
        <v>0</v>
      </c>
      <c r="Q83" s="25">
        <f>IF(D83=CNC!AR$10,A83)</f>
        <v>82</v>
      </c>
      <c r="R83" s="25" t="b">
        <f t="shared" si="10"/>
        <v>0</v>
      </c>
    </row>
    <row r="84" spans="1:18" ht="17" customHeight="1">
      <c r="A84" s="4">
        <v>83</v>
      </c>
      <c r="B84" s="162">
        <v>5</v>
      </c>
      <c r="C84" s="162">
        <v>2</v>
      </c>
      <c r="D84" s="162">
        <v>1</v>
      </c>
      <c r="E84" s="133" t="s">
        <v>2326</v>
      </c>
      <c r="F84" s="133">
        <v>4</v>
      </c>
      <c r="G84" s="133">
        <v>4</v>
      </c>
      <c r="H84" s="133">
        <v>4</v>
      </c>
      <c r="I84" s="164">
        <v>0.8</v>
      </c>
      <c r="J84" s="133">
        <v>11</v>
      </c>
      <c r="K84" s="133">
        <v>50</v>
      </c>
      <c r="L84" s="133">
        <v>4.8</v>
      </c>
      <c r="M84" s="163">
        <v>82</v>
      </c>
      <c r="N84" s="38">
        <f>IF(CNC!C$14&gt;=L84,A84)</f>
        <v>83</v>
      </c>
      <c r="O84" s="25" t="b">
        <f>IF(CNC!C$15=I84,A84)</f>
        <v>0</v>
      </c>
      <c r="P84" s="25" t="b">
        <f>IF(CNC!C$16&lt;=J84,A84)</f>
        <v>0</v>
      </c>
      <c r="Q84" s="25">
        <f>IF(D84=CNC!AR$10,A84)</f>
        <v>83</v>
      </c>
      <c r="R84" s="25" t="b">
        <f t="shared" si="10"/>
        <v>0</v>
      </c>
    </row>
    <row r="85" spans="1:18" ht="17" customHeight="1">
      <c r="A85" s="4">
        <v>84</v>
      </c>
      <c r="B85" s="162">
        <v>5</v>
      </c>
      <c r="C85" s="162">
        <v>2</v>
      </c>
      <c r="D85" s="162">
        <v>1</v>
      </c>
      <c r="E85" s="133" t="s">
        <v>2326</v>
      </c>
      <c r="F85" s="133">
        <v>4</v>
      </c>
      <c r="G85" s="133">
        <v>4</v>
      </c>
      <c r="H85" s="133">
        <v>4</v>
      </c>
      <c r="I85" s="164">
        <v>1</v>
      </c>
      <c r="J85" s="133">
        <v>11</v>
      </c>
      <c r="K85" s="133">
        <v>50</v>
      </c>
      <c r="L85" s="133">
        <v>4.8</v>
      </c>
      <c r="M85" s="163">
        <v>82</v>
      </c>
      <c r="N85" s="38">
        <f>IF(CNC!C$14&gt;=L85,A85)</f>
        <v>84</v>
      </c>
      <c r="O85" s="25" t="b">
        <f>IF(CNC!C$15=I85,A85)</f>
        <v>0</v>
      </c>
      <c r="P85" s="25" t="b">
        <f>IF(CNC!C$16&lt;=J85,A85)</f>
        <v>0</v>
      </c>
      <c r="Q85" s="25">
        <f>IF(D85=CNC!AR$10,A85)</f>
        <v>84</v>
      </c>
      <c r="R85" s="25" t="b">
        <f t="shared" si="10"/>
        <v>0</v>
      </c>
    </row>
    <row r="86" spans="1:18" ht="17" customHeight="1">
      <c r="A86" s="4">
        <v>85</v>
      </c>
      <c r="B86" s="162">
        <v>5</v>
      </c>
      <c r="C86" s="162">
        <v>2</v>
      </c>
      <c r="D86" s="162">
        <v>2</v>
      </c>
      <c r="E86" s="133" t="s">
        <v>2326</v>
      </c>
      <c r="F86" s="133">
        <v>4</v>
      </c>
      <c r="G86" s="133">
        <v>4</v>
      </c>
      <c r="H86" s="133">
        <v>4</v>
      </c>
      <c r="I86" s="164">
        <v>24</v>
      </c>
      <c r="J86" s="133">
        <v>11</v>
      </c>
      <c r="K86" s="133">
        <v>50</v>
      </c>
      <c r="L86" s="133">
        <v>4.8</v>
      </c>
      <c r="M86" s="163">
        <v>82</v>
      </c>
      <c r="N86" s="38">
        <f>IF(CNC!C$14&gt;=L86,A86)</f>
        <v>85</v>
      </c>
      <c r="O86" s="25" t="b">
        <f>IF(CNC!C$15=I86,A86)</f>
        <v>0</v>
      </c>
      <c r="P86" s="25" t="b">
        <f>IF(CNC!C$16&lt;=J86,A86)</f>
        <v>0</v>
      </c>
      <c r="Q86" s="25" t="b">
        <f>IF(D86=CNC!AR$10,A86)</f>
        <v>0</v>
      </c>
      <c r="R86" s="25" t="b">
        <f t="shared" si="10"/>
        <v>0</v>
      </c>
    </row>
    <row r="87" spans="1:18" ht="17" customHeight="1">
      <c r="A87" s="4">
        <v>86</v>
      </c>
      <c r="B87" s="162">
        <v>5</v>
      </c>
      <c r="C87" s="162">
        <v>2</v>
      </c>
      <c r="D87" s="162">
        <v>2</v>
      </c>
      <c r="E87" s="133" t="s">
        <v>2326</v>
      </c>
      <c r="F87" s="133">
        <v>4</v>
      </c>
      <c r="G87" s="133">
        <v>4</v>
      </c>
      <c r="H87" s="133">
        <v>4</v>
      </c>
      <c r="I87" s="164">
        <v>28</v>
      </c>
      <c r="J87" s="133">
        <v>11</v>
      </c>
      <c r="K87" s="133">
        <v>50</v>
      </c>
      <c r="L87" s="133">
        <v>4.8</v>
      </c>
      <c r="M87" s="163">
        <v>82</v>
      </c>
      <c r="N87" s="38">
        <f>IF(CNC!C$14&gt;=L87,A87)</f>
        <v>86</v>
      </c>
      <c r="O87" s="25" t="b">
        <f>IF(CNC!C$15=I87,A87)</f>
        <v>0</v>
      </c>
      <c r="P87" s="25" t="b">
        <f>IF(CNC!C$16&lt;=J87,A87)</f>
        <v>0</v>
      </c>
      <c r="Q87" s="25" t="b">
        <f>IF(D87=CNC!AR$10,A87)</f>
        <v>0</v>
      </c>
      <c r="R87" s="25" t="b">
        <f t="shared" si="10"/>
        <v>0</v>
      </c>
    </row>
    <row r="88" spans="1:18" ht="17" customHeight="1">
      <c r="A88" s="4">
        <v>87</v>
      </c>
      <c r="B88" s="162">
        <v>5</v>
      </c>
      <c r="C88" s="162">
        <v>2</v>
      </c>
      <c r="D88" s="162">
        <v>2</v>
      </c>
      <c r="E88" s="133" t="s">
        <v>2326</v>
      </c>
      <c r="F88" s="133">
        <v>4</v>
      </c>
      <c r="G88" s="133">
        <v>4</v>
      </c>
      <c r="H88" s="133">
        <v>4</v>
      </c>
      <c r="I88" s="164">
        <v>32</v>
      </c>
      <c r="J88" s="133">
        <v>11</v>
      </c>
      <c r="K88" s="133">
        <v>50</v>
      </c>
      <c r="L88" s="133">
        <v>4.8</v>
      </c>
      <c r="M88" s="163">
        <v>82</v>
      </c>
      <c r="N88" s="38">
        <f>IF(CNC!C$14&gt;=L88,A88)</f>
        <v>87</v>
      </c>
      <c r="O88" s="25" t="b">
        <f>IF(CNC!C$15=I88,A88)</f>
        <v>0</v>
      </c>
      <c r="P88" s="25" t="b">
        <f>IF(CNC!C$16&lt;=J88,A88)</f>
        <v>0</v>
      </c>
      <c r="Q88" s="25" t="b">
        <f>IF(D88=CNC!AR$10,A88)</f>
        <v>0</v>
      </c>
      <c r="R88" s="25" t="b">
        <f t="shared" si="10"/>
        <v>0</v>
      </c>
    </row>
    <row r="89" spans="1:18" ht="17" customHeight="1">
      <c r="A89" s="4">
        <v>88</v>
      </c>
      <c r="B89" s="162">
        <v>5</v>
      </c>
      <c r="C89" s="162">
        <v>2</v>
      </c>
      <c r="D89" s="162">
        <v>1</v>
      </c>
      <c r="E89" s="133" t="s">
        <v>2322</v>
      </c>
      <c r="F89" s="133">
        <v>4</v>
      </c>
      <c r="G89" s="133">
        <v>3</v>
      </c>
      <c r="H89" s="133">
        <v>4</v>
      </c>
      <c r="I89" s="164">
        <v>0.7</v>
      </c>
      <c r="J89" s="133">
        <v>9</v>
      </c>
      <c r="K89" s="133">
        <v>50</v>
      </c>
      <c r="L89" s="133">
        <v>3.8</v>
      </c>
      <c r="M89" s="163">
        <v>82</v>
      </c>
      <c r="N89" s="38">
        <f>IF(CNC!C$14&gt;=L89,A89)</f>
        <v>88</v>
      </c>
      <c r="O89" s="25" t="b">
        <f>IF(CNC!C$15=I89,A89)</f>
        <v>0</v>
      </c>
      <c r="P89" s="25" t="b">
        <f>IF(CNC!C$16&lt;=J89,A89)</f>
        <v>0</v>
      </c>
      <c r="Q89" s="25">
        <f>IF(D89=CNC!AR$10,A89)</f>
        <v>88</v>
      </c>
      <c r="R89" s="25" t="b">
        <f t="shared" si="10"/>
        <v>0</v>
      </c>
    </row>
    <row r="90" spans="1:18" ht="17" customHeight="1">
      <c r="A90" s="4">
        <v>89</v>
      </c>
      <c r="B90" s="162">
        <v>5</v>
      </c>
      <c r="C90" s="162">
        <v>2</v>
      </c>
      <c r="D90" s="162">
        <v>1</v>
      </c>
      <c r="E90" s="133" t="s">
        <v>2322</v>
      </c>
      <c r="F90" s="133">
        <v>4</v>
      </c>
      <c r="G90" s="133">
        <v>3</v>
      </c>
      <c r="H90" s="133">
        <v>4</v>
      </c>
      <c r="I90" s="164">
        <v>0.75</v>
      </c>
      <c r="J90" s="133">
        <v>9</v>
      </c>
      <c r="K90" s="133">
        <v>50</v>
      </c>
      <c r="L90" s="133">
        <v>3.8</v>
      </c>
      <c r="M90" s="163">
        <v>82</v>
      </c>
      <c r="N90" s="38">
        <f>IF(CNC!C$14&gt;=L90,A90)</f>
        <v>89</v>
      </c>
      <c r="O90" s="25" t="b">
        <f>IF(CNC!C$15=I90,A90)</f>
        <v>0</v>
      </c>
      <c r="P90" s="25" t="b">
        <f>IF(CNC!C$16&lt;=J90,A90)</f>
        <v>0</v>
      </c>
      <c r="Q90" s="25">
        <f>IF(D90=CNC!AR$10,A90)</f>
        <v>89</v>
      </c>
      <c r="R90" s="25" t="b">
        <f t="shared" si="10"/>
        <v>0</v>
      </c>
    </row>
    <row r="91" spans="1:18" ht="17" customHeight="1">
      <c r="A91" s="4">
        <v>90</v>
      </c>
      <c r="B91" s="162">
        <v>5</v>
      </c>
      <c r="C91" s="162">
        <v>2</v>
      </c>
      <c r="D91" s="162">
        <v>2</v>
      </c>
      <c r="E91" s="133" t="s">
        <v>2322</v>
      </c>
      <c r="F91" s="133">
        <v>4</v>
      </c>
      <c r="G91" s="133">
        <v>3</v>
      </c>
      <c r="H91" s="133">
        <v>4</v>
      </c>
      <c r="I91" s="164">
        <v>32</v>
      </c>
      <c r="J91" s="133">
        <v>9</v>
      </c>
      <c r="K91" s="133">
        <v>50</v>
      </c>
      <c r="L91" s="133">
        <v>3.8</v>
      </c>
      <c r="M91" s="163">
        <v>82</v>
      </c>
      <c r="N91" s="38">
        <f>IF(CNC!C$14&gt;=L91,A91)</f>
        <v>90</v>
      </c>
      <c r="O91" s="25" t="b">
        <f>IF(CNC!C$15=I91,A91)</f>
        <v>0</v>
      </c>
      <c r="P91" s="25" t="b">
        <f>IF(CNC!C$16&lt;=J91,A91)</f>
        <v>0</v>
      </c>
      <c r="Q91" s="25" t="b">
        <f>IF(D91=CNC!AR$10,A91)</f>
        <v>0</v>
      </c>
      <c r="R91" s="25" t="b">
        <f t="shared" si="10"/>
        <v>0</v>
      </c>
    </row>
    <row r="92" spans="1:18" ht="17" customHeight="1">
      <c r="A92" s="4">
        <v>91</v>
      </c>
      <c r="B92" s="162">
        <v>5</v>
      </c>
      <c r="C92" s="162">
        <v>2</v>
      </c>
      <c r="D92" s="162">
        <v>2</v>
      </c>
      <c r="E92" s="133" t="s">
        <v>2322</v>
      </c>
      <c r="F92" s="133">
        <v>4</v>
      </c>
      <c r="G92" s="133">
        <v>3</v>
      </c>
      <c r="H92" s="133">
        <v>4</v>
      </c>
      <c r="I92" s="164">
        <v>36</v>
      </c>
      <c r="J92" s="133">
        <v>9</v>
      </c>
      <c r="K92" s="133">
        <v>50</v>
      </c>
      <c r="L92" s="133">
        <v>3.8</v>
      </c>
      <c r="M92" s="163">
        <v>82</v>
      </c>
      <c r="N92" s="38">
        <f>IF(CNC!C$14&gt;=L92,A92)</f>
        <v>91</v>
      </c>
      <c r="O92" s="25" t="b">
        <f>IF(CNC!C$15=I92,A92)</f>
        <v>0</v>
      </c>
      <c r="P92" s="25" t="b">
        <f>IF(CNC!C$16&lt;=J92,A92)</f>
        <v>0</v>
      </c>
      <c r="Q92" s="25" t="b">
        <f>IF(D92=CNC!AR$10,A92)</f>
        <v>0</v>
      </c>
      <c r="R92" s="25" t="b">
        <f t="shared" si="10"/>
        <v>0</v>
      </c>
    </row>
    <row r="93" spans="1:18" ht="17" customHeight="1">
      <c r="A93" s="4">
        <v>92</v>
      </c>
      <c r="B93" s="162">
        <v>5</v>
      </c>
      <c r="C93" s="162">
        <v>2</v>
      </c>
      <c r="D93" s="162">
        <v>1</v>
      </c>
      <c r="E93" s="133" t="s">
        <v>2323</v>
      </c>
      <c r="F93" s="133">
        <v>4</v>
      </c>
      <c r="G93" s="133">
        <v>3</v>
      </c>
      <c r="H93" s="133">
        <v>4</v>
      </c>
      <c r="I93" s="164">
        <v>0.7</v>
      </c>
      <c r="J93" s="133">
        <v>13</v>
      </c>
      <c r="K93" s="133">
        <v>50</v>
      </c>
      <c r="L93" s="133">
        <v>3.8</v>
      </c>
      <c r="M93" s="163">
        <v>90.2</v>
      </c>
      <c r="N93" s="38">
        <f>IF(CNC!C$14&gt;=L93,A93)</f>
        <v>92</v>
      </c>
      <c r="O93" s="25" t="b">
        <f>IF(CNC!C$15=I93,A93)</f>
        <v>0</v>
      </c>
      <c r="P93" s="25" t="b">
        <f>IF(CNC!C$16&lt;=J93,A93)</f>
        <v>0</v>
      </c>
      <c r="Q93" s="25">
        <f>IF(D93=CNC!AR$10,A93)</f>
        <v>92</v>
      </c>
      <c r="R93" s="25" t="b">
        <f t="shared" si="10"/>
        <v>0</v>
      </c>
    </row>
    <row r="94" spans="1:18" ht="17" customHeight="1">
      <c r="A94" s="4">
        <v>93</v>
      </c>
      <c r="B94" s="162">
        <v>5</v>
      </c>
      <c r="C94" s="162">
        <v>2</v>
      </c>
      <c r="D94" s="162">
        <v>1</v>
      </c>
      <c r="E94" s="133" t="s">
        <v>2323</v>
      </c>
      <c r="F94" s="133">
        <v>4</v>
      </c>
      <c r="G94" s="133">
        <v>3</v>
      </c>
      <c r="H94" s="133">
        <v>4</v>
      </c>
      <c r="I94" s="164">
        <v>0.75</v>
      </c>
      <c r="J94" s="133">
        <v>13</v>
      </c>
      <c r="K94" s="133">
        <v>50</v>
      </c>
      <c r="L94" s="133">
        <v>3.8</v>
      </c>
      <c r="M94" s="163">
        <v>90.2</v>
      </c>
      <c r="N94" s="38">
        <f>IF(CNC!C$14&gt;=L94,A94)</f>
        <v>93</v>
      </c>
      <c r="O94" s="25" t="b">
        <f>IF(CNC!C$15=I94,A94)</f>
        <v>0</v>
      </c>
      <c r="P94" s="25" t="b">
        <f>IF(CNC!C$16&lt;=J94,A94)</f>
        <v>0</v>
      </c>
      <c r="Q94" s="25">
        <f>IF(D94=CNC!AR$10,A94)</f>
        <v>93</v>
      </c>
      <c r="R94" s="25" t="b">
        <f t="shared" si="10"/>
        <v>0</v>
      </c>
    </row>
    <row r="95" spans="1:18" ht="17" customHeight="1">
      <c r="A95" s="4">
        <v>94</v>
      </c>
      <c r="B95" s="162">
        <v>5</v>
      </c>
      <c r="C95" s="162">
        <v>2</v>
      </c>
      <c r="D95" s="162">
        <v>2</v>
      </c>
      <c r="E95" s="133" t="s">
        <v>2323</v>
      </c>
      <c r="F95" s="133">
        <v>4</v>
      </c>
      <c r="G95" s="133">
        <v>3</v>
      </c>
      <c r="H95" s="133">
        <v>4</v>
      </c>
      <c r="I95" s="164">
        <v>32</v>
      </c>
      <c r="J95" s="133">
        <v>13</v>
      </c>
      <c r="K95" s="133">
        <v>50</v>
      </c>
      <c r="L95" s="133">
        <v>3.8</v>
      </c>
      <c r="M95" s="163">
        <v>90.2</v>
      </c>
      <c r="N95" s="38">
        <f>IF(CNC!C$14&gt;=L95,A95)</f>
        <v>94</v>
      </c>
      <c r="O95" s="25" t="b">
        <f>IF(CNC!C$15=I95,A95)</f>
        <v>0</v>
      </c>
      <c r="P95" s="25" t="b">
        <f>IF(CNC!C$16&lt;=J95,A95)</f>
        <v>0</v>
      </c>
      <c r="Q95" s="25" t="b">
        <f>IF(D95=CNC!AR$10,A95)</f>
        <v>0</v>
      </c>
      <c r="R95" s="25" t="b">
        <f t="shared" si="10"/>
        <v>0</v>
      </c>
    </row>
    <row r="96" spans="1:18" ht="17" customHeight="1">
      <c r="A96" s="4">
        <v>95</v>
      </c>
      <c r="B96" s="162">
        <v>5</v>
      </c>
      <c r="C96" s="162">
        <v>2</v>
      </c>
      <c r="D96" s="162">
        <v>2</v>
      </c>
      <c r="E96" s="133" t="s">
        <v>2323</v>
      </c>
      <c r="F96" s="133">
        <v>4</v>
      </c>
      <c r="G96" s="133">
        <v>3</v>
      </c>
      <c r="H96" s="133">
        <v>4</v>
      </c>
      <c r="I96" s="164">
        <v>36</v>
      </c>
      <c r="J96" s="133">
        <v>13</v>
      </c>
      <c r="K96" s="133">
        <v>50</v>
      </c>
      <c r="L96" s="133">
        <v>3.8</v>
      </c>
      <c r="M96" s="163">
        <v>90.2</v>
      </c>
      <c r="N96" s="38">
        <f>IF(CNC!C$14&gt;=L96,A96)</f>
        <v>95</v>
      </c>
      <c r="O96" s="25" t="b">
        <f>IF(CNC!C$15=I96,A96)</f>
        <v>0</v>
      </c>
      <c r="P96" s="25" t="b">
        <f>IF(CNC!C$16&lt;=J96,A96)</f>
        <v>0</v>
      </c>
      <c r="Q96" s="25" t="b">
        <f>IF(D96=CNC!AR$10,A96)</f>
        <v>0</v>
      </c>
      <c r="R96" s="25" t="b">
        <f t="shared" si="10"/>
        <v>0</v>
      </c>
    </row>
    <row r="97" spans="1:18" ht="17" customHeight="1">
      <c r="A97" s="4">
        <v>96</v>
      </c>
      <c r="B97" s="162">
        <v>5</v>
      </c>
      <c r="C97" s="162">
        <v>2</v>
      </c>
      <c r="D97" s="162">
        <v>1</v>
      </c>
      <c r="E97" s="133" t="s">
        <v>2325</v>
      </c>
      <c r="F97" s="133">
        <v>4</v>
      </c>
      <c r="G97" s="133">
        <v>3.6</v>
      </c>
      <c r="H97" s="133">
        <v>4</v>
      </c>
      <c r="I97" s="164">
        <v>0.75</v>
      </c>
      <c r="J97" s="133">
        <v>14.3</v>
      </c>
      <c r="K97" s="133">
        <v>50</v>
      </c>
      <c r="L97" s="133">
        <v>4.3</v>
      </c>
      <c r="M97" s="163">
        <v>90.2</v>
      </c>
      <c r="N97" s="38">
        <f>IF(CNC!C$14&gt;=L97,A97)</f>
        <v>96</v>
      </c>
      <c r="O97" s="25" t="b">
        <f>IF(CNC!C$15=I97,A97)</f>
        <v>0</v>
      </c>
      <c r="P97" s="25" t="b">
        <f>IF(CNC!C$16&lt;=J97,A97)</f>
        <v>0</v>
      </c>
      <c r="Q97" s="25">
        <f>IF(D97=CNC!AR$10,A97)</f>
        <v>96</v>
      </c>
      <c r="R97" s="25" t="b">
        <f t="shared" si="10"/>
        <v>0</v>
      </c>
    </row>
    <row r="98" spans="1:18" ht="17" customHeight="1">
      <c r="A98" s="4">
        <v>97</v>
      </c>
      <c r="B98" s="162">
        <v>5</v>
      </c>
      <c r="C98" s="162">
        <v>2</v>
      </c>
      <c r="D98" s="162">
        <v>1</v>
      </c>
      <c r="E98" s="133" t="s">
        <v>2325</v>
      </c>
      <c r="F98" s="133">
        <v>4</v>
      </c>
      <c r="G98" s="133">
        <v>3.6</v>
      </c>
      <c r="H98" s="133">
        <v>4</v>
      </c>
      <c r="I98" s="164">
        <v>0.8</v>
      </c>
      <c r="J98" s="133">
        <v>14.3</v>
      </c>
      <c r="K98" s="133">
        <v>50</v>
      </c>
      <c r="L98" s="133">
        <v>4.3</v>
      </c>
      <c r="M98" s="163">
        <v>90.2</v>
      </c>
      <c r="N98" s="38">
        <f>IF(CNC!C$14&gt;=L98,A98)</f>
        <v>97</v>
      </c>
      <c r="O98" s="25" t="b">
        <f>IF(CNC!C$15=I98,A98)</f>
        <v>0</v>
      </c>
      <c r="P98" s="25" t="b">
        <f>IF(CNC!C$16&lt;=J98,A98)</f>
        <v>0</v>
      </c>
      <c r="Q98" s="25">
        <f>IF(D98=CNC!AR$10,A98)</f>
        <v>97</v>
      </c>
      <c r="R98" s="25" t="b">
        <f t="shared" si="10"/>
        <v>0</v>
      </c>
    </row>
    <row r="99" spans="1:18" ht="17" customHeight="1">
      <c r="A99" s="4">
        <v>98</v>
      </c>
      <c r="B99" s="162">
        <v>5</v>
      </c>
      <c r="C99" s="162">
        <v>2</v>
      </c>
      <c r="D99" s="162">
        <v>1</v>
      </c>
      <c r="E99" s="133" t="s">
        <v>2325</v>
      </c>
      <c r="F99" s="133">
        <v>4</v>
      </c>
      <c r="G99" s="133">
        <v>3.6</v>
      </c>
      <c r="H99" s="133">
        <v>4</v>
      </c>
      <c r="I99" s="164">
        <v>1</v>
      </c>
      <c r="J99" s="133">
        <v>14.3</v>
      </c>
      <c r="K99" s="133">
        <v>50</v>
      </c>
      <c r="L99" s="133">
        <v>4.3</v>
      </c>
      <c r="M99" s="163">
        <v>90.2</v>
      </c>
      <c r="N99" s="38">
        <f>IF(CNC!C$14&gt;=L99,A99)</f>
        <v>98</v>
      </c>
      <c r="O99" s="25" t="b">
        <f>IF(CNC!C$15=I99,A99)</f>
        <v>0</v>
      </c>
      <c r="P99" s="25" t="b">
        <f>IF(CNC!C$16&lt;=J99,A99)</f>
        <v>0</v>
      </c>
      <c r="Q99" s="25">
        <f>IF(D99=CNC!AR$10,A99)</f>
        <v>98</v>
      </c>
      <c r="R99" s="25" t="b">
        <f t="shared" si="10"/>
        <v>0</v>
      </c>
    </row>
    <row r="100" spans="1:18" ht="17" customHeight="1">
      <c r="A100" s="4">
        <v>99</v>
      </c>
      <c r="B100" s="162">
        <v>5</v>
      </c>
      <c r="C100" s="162">
        <v>2</v>
      </c>
      <c r="D100" s="162">
        <v>2</v>
      </c>
      <c r="E100" s="133" t="s">
        <v>2325</v>
      </c>
      <c r="F100" s="133">
        <v>4</v>
      </c>
      <c r="G100" s="133">
        <v>3.6</v>
      </c>
      <c r="H100" s="133">
        <v>4</v>
      </c>
      <c r="I100" s="164">
        <v>24</v>
      </c>
      <c r="J100" s="133">
        <v>14.3</v>
      </c>
      <c r="K100" s="133">
        <v>50</v>
      </c>
      <c r="L100" s="133">
        <v>4.3</v>
      </c>
      <c r="M100" s="163">
        <v>90.2</v>
      </c>
      <c r="N100" s="38">
        <f>IF(CNC!C$14&gt;=L100,A100)</f>
        <v>99</v>
      </c>
      <c r="O100" s="25" t="b">
        <f>IF(CNC!C$15=I100,A100)</f>
        <v>0</v>
      </c>
      <c r="P100" s="25" t="b">
        <f>IF(CNC!C$16&lt;=J100,A100)</f>
        <v>0</v>
      </c>
      <c r="Q100" s="25" t="b">
        <f>IF(D100=CNC!AR$10,A100)</f>
        <v>0</v>
      </c>
      <c r="R100" s="25" t="b">
        <f t="shared" si="10"/>
        <v>0</v>
      </c>
    </row>
    <row r="101" spans="1:18" ht="17" customHeight="1">
      <c r="A101" s="4">
        <v>100</v>
      </c>
      <c r="B101" s="162">
        <v>5</v>
      </c>
      <c r="C101" s="162">
        <v>2</v>
      </c>
      <c r="D101" s="162">
        <v>2</v>
      </c>
      <c r="E101" s="133" t="s">
        <v>2325</v>
      </c>
      <c r="F101" s="133">
        <v>4</v>
      </c>
      <c r="G101" s="133">
        <v>3.6</v>
      </c>
      <c r="H101" s="133">
        <v>4</v>
      </c>
      <c r="I101" s="164">
        <v>28</v>
      </c>
      <c r="J101" s="133">
        <v>14.3</v>
      </c>
      <c r="K101" s="133">
        <v>50</v>
      </c>
      <c r="L101" s="133">
        <v>4.3</v>
      </c>
      <c r="M101" s="163">
        <v>90.2</v>
      </c>
      <c r="N101" s="38">
        <f>IF(CNC!C$14&gt;=L101,A101)</f>
        <v>100</v>
      </c>
      <c r="O101" s="25" t="b">
        <f>IF(CNC!C$15=I101,A101)</f>
        <v>0</v>
      </c>
      <c r="P101" s="25" t="b">
        <f>IF(CNC!C$16&lt;=J101,A101)</f>
        <v>0</v>
      </c>
      <c r="Q101" s="25" t="b">
        <f>IF(D101=CNC!AR$10,A101)</f>
        <v>0</v>
      </c>
      <c r="R101" s="25" t="b">
        <f t="shared" si="10"/>
        <v>0</v>
      </c>
    </row>
    <row r="102" spans="1:18" ht="17" customHeight="1">
      <c r="A102" s="4">
        <v>101</v>
      </c>
      <c r="B102" s="162">
        <v>5</v>
      </c>
      <c r="C102" s="162">
        <v>2</v>
      </c>
      <c r="D102" s="162">
        <v>2</v>
      </c>
      <c r="E102" s="133" t="s">
        <v>2325</v>
      </c>
      <c r="F102" s="133">
        <v>4</v>
      </c>
      <c r="G102" s="133">
        <v>3.6</v>
      </c>
      <c r="H102" s="133">
        <v>4</v>
      </c>
      <c r="I102" s="164">
        <v>32</v>
      </c>
      <c r="J102" s="133">
        <v>14.3</v>
      </c>
      <c r="K102" s="133">
        <v>50</v>
      </c>
      <c r="L102" s="133">
        <v>4.3</v>
      </c>
      <c r="M102" s="163">
        <v>90.2</v>
      </c>
      <c r="N102" s="38">
        <f>IF(CNC!C$14&gt;=L102,A102)</f>
        <v>101</v>
      </c>
      <c r="O102" s="25" t="b">
        <f>IF(CNC!C$15=I102,A102)</f>
        <v>0</v>
      </c>
      <c r="P102" s="25" t="b">
        <f>IF(CNC!C$16&lt;=J102,A102)</f>
        <v>0</v>
      </c>
      <c r="Q102" s="25" t="b">
        <f>IF(D102=CNC!AR$10,A102)</f>
        <v>0</v>
      </c>
      <c r="R102" s="25" t="b">
        <f t="shared" si="10"/>
        <v>0</v>
      </c>
    </row>
    <row r="103" spans="1:18" ht="17" customHeight="1">
      <c r="A103" s="4">
        <v>102</v>
      </c>
      <c r="B103" s="162">
        <v>5</v>
      </c>
      <c r="C103" s="162">
        <v>2</v>
      </c>
      <c r="D103" s="162">
        <v>1</v>
      </c>
      <c r="E103" s="133" t="s">
        <v>2324</v>
      </c>
      <c r="F103" s="133">
        <v>4</v>
      </c>
      <c r="G103" s="133">
        <v>3.6</v>
      </c>
      <c r="H103" s="133">
        <v>4</v>
      </c>
      <c r="I103" s="164">
        <v>0.75</v>
      </c>
      <c r="J103" s="133">
        <v>10</v>
      </c>
      <c r="K103" s="133">
        <v>50</v>
      </c>
      <c r="L103" s="133">
        <v>4.3</v>
      </c>
      <c r="M103" s="163">
        <v>82</v>
      </c>
      <c r="N103" s="38">
        <f>IF(CNC!C$14&gt;=L103,A103)</f>
        <v>102</v>
      </c>
      <c r="O103" s="25" t="b">
        <f>IF(CNC!C$15=I103,A103)</f>
        <v>0</v>
      </c>
      <c r="P103" s="25" t="b">
        <f>IF(CNC!C$16&lt;=J103,A103)</f>
        <v>0</v>
      </c>
      <c r="Q103" s="25">
        <f>IF(D103=CNC!AR$10,A103)</f>
        <v>102</v>
      </c>
      <c r="R103" s="25" t="b">
        <f t="shared" si="10"/>
        <v>0</v>
      </c>
    </row>
    <row r="104" spans="1:18" ht="17" customHeight="1">
      <c r="A104" s="4">
        <v>103</v>
      </c>
      <c r="B104" s="162">
        <v>5</v>
      </c>
      <c r="C104" s="162">
        <v>2</v>
      </c>
      <c r="D104" s="162">
        <v>1</v>
      </c>
      <c r="E104" s="133" t="s">
        <v>2324</v>
      </c>
      <c r="F104" s="133">
        <v>4</v>
      </c>
      <c r="G104" s="133">
        <v>3.6</v>
      </c>
      <c r="H104" s="133">
        <v>4</v>
      </c>
      <c r="I104" s="164">
        <v>0.8</v>
      </c>
      <c r="J104" s="133">
        <v>10</v>
      </c>
      <c r="K104" s="133">
        <v>50</v>
      </c>
      <c r="L104" s="133">
        <v>4.3</v>
      </c>
      <c r="M104" s="163">
        <v>82</v>
      </c>
      <c r="N104" s="38">
        <f>IF(CNC!C$14&gt;=L104,A104)</f>
        <v>103</v>
      </c>
      <c r="O104" s="25" t="b">
        <f>IF(CNC!C$15=I104,A104)</f>
        <v>0</v>
      </c>
      <c r="P104" s="25" t="b">
        <f>IF(CNC!C$16&lt;=J104,A104)</f>
        <v>0</v>
      </c>
      <c r="Q104" s="25">
        <f>IF(D104=CNC!AR$10,A104)</f>
        <v>103</v>
      </c>
      <c r="R104" s="25" t="b">
        <f t="shared" si="10"/>
        <v>0</v>
      </c>
    </row>
    <row r="105" spans="1:18" ht="17" customHeight="1">
      <c r="A105" s="4">
        <v>104</v>
      </c>
      <c r="B105" s="162">
        <v>5</v>
      </c>
      <c r="C105" s="162">
        <v>2</v>
      </c>
      <c r="D105" s="162">
        <v>1</v>
      </c>
      <c r="E105" s="133" t="s">
        <v>2324</v>
      </c>
      <c r="F105" s="133">
        <v>4</v>
      </c>
      <c r="G105" s="133">
        <v>3.6</v>
      </c>
      <c r="H105" s="133">
        <v>4</v>
      </c>
      <c r="I105" s="164">
        <v>1</v>
      </c>
      <c r="J105" s="133">
        <v>10</v>
      </c>
      <c r="K105" s="133">
        <v>50</v>
      </c>
      <c r="L105" s="133">
        <v>4.3</v>
      </c>
      <c r="M105" s="163">
        <v>82</v>
      </c>
      <c r="N105" s="38">
        <f>IF(CNC!C$14&gt;=L105,A105)</f>
        <v>104</v>
      </c>
      <c r="O105" s="25" t="b">
        <f>IF(CNC!C$15=I105,A105)</f>
        <v>0</v>
      </c>
      <c r="P105" s="25" t="b">
        <f>IF(CNC!C$16&lt;=J105,A105)</f>
        <v>0</v>
      </c>
      <c r="Q105" s="25">
        <f>IF(D105=CNC!AR$10,A105)</f>
        <v>104</v>
      </c>
      <c r="R105" s="25" t="b">
        <f t="shared" si="10"/>
        <v>0</v>
      </c>
    </row>
    <row r="106" spans="1:18" ht="17" customHeight="1">
      <c r="A106" s="4">
        <v>105</v>
      </c>
      <c r="B106" s="162">
        <v>5</v>
      </c>
      <c r="C106" s="162">
        <v>2</v>
      </c>
      <c r="D106" s="162">
        <v>2</v>
      </c>
      <c r="E106" s="133" t="s">
        <v>2324</v>
      </c>
      <c r="F106" s="133">
        <v>4</v>
      </c>
      <c r="G106" s="133">
        <v>3.6</v>
      </c>
      <c r="H106" s="133">
        <v>4</v>
      </c>
      <c r="I106" s="164">
        <v>24</v>
      </c>
      <c r="J106" s="133">
        <v>10</v>
      </c>
      <c r="K106" s="133">
        <v>50</v>
      </c>
      <c r="L106" s="133">
        <v>4.3</v>
      </c>
      <c r="M106" s="163">
        <v>82</v>
      </c>
      <c r="N106" s="38">
        <f>IF(CNC!C$14&gt;=L106,A106)</f>
        <v>105</v>
      </c>
      <c r="O106" s="25" t="b">
        <f>IF(CNC!C$15=I106,A106)</f>
        <v>0</v>
      </c>
      <c r="P106" s="25" t="b">
        <f>IF(CNC!C$16&lt;=J106,A106)</f>
        <v>0</v>
      </c>
      <c r="Q106" s="25" t="b">
        <f>IF(D106=CNC!AR$10,A106)</f>
        <v>0</v>
      </c>
      <c r="R106" s="25" t="b">
        <f t="shared" si="10"/>
        <v>0</v>
      </c>
    </row>
    <row r="107" spans="1:18" ht="17" customHeight="1">
      <c r="A107" s="4">
        <v>106</v>
      </c>
      <c r="B107" s="162">
        <v>5</v>
      </c>
      <c r="C107" s="162">
        <v>2</v>
      </c>
      <c r="D107" s="162">
        <v>2</v>
      </c>
      <c r="E107" s="133" t="s">
        <v>2324</v>
      </c>
      <c r="F107" s="133">
        <v>4</v>
      </c>
      <c r="G107" s="133">
        <v>3.6</v>
      </c>
      <c r="H107" s="133">
        <v>4</v>
      </c>
      <c r="I107" s="164">
        <v>28</v>
      </c>
      <c r="J107" s="133">
        <v>10</v>
      </c>
      <c r="K107" s="133">
        <v>50</v>
      </c>
      <c r="L107" s="133">
        <v>4.3</v>
      </c>
      <c r="M107" s="163">
        <v>82</v>
      </c>
      <c r="N107" s="38">
        <f>IF(CNC!C$14&gt;=L107,A107)</f>
        <v>106</v>
      </c>
      <c r="O107" s="25" t="b">
        <f>IF(CNC!C$15=I107,A107)</f>
        <v>0</v>
      </c>
      <c r="P107" s="25" t="b">
        <f>IF(CNC!C$16&lt;=J107,A107)</f>
        <v>0</v>
      </c>
      <c r="Q107" s="25" t="b">
        <f>IF(D107=CNC!AR$10,A107)</f>
        <v>0</v>
      </c>
      <c r="R107" s="25" t="b">
        <f t="shared" si="10"/>
        <v>0</v>
      </c>
    </row>
    <row r="108" spans="1:18" ht="17" customHeight="1">
      <c r="A108" s="4">
        <v>107</v>
      </c>
      <c r="B108" s="162">
        <v>5</v>
      </c>
      <c r="C108" s="162">
        <v>2</v>
      </c>
      <c r="D108" s="162">
        <v>2</v>
      </c>
      <c r="E108" s="133" t="s">
        <v>2324</v>
      </c>
      <c r="F108" s="133">
        <v>4</v>
      </c>
      <c r="G108" s="133">
        <v>3.6</v>
      </c>
      <c r="H108" s="133">
        <v>4</v>
      </c>
      <c r="I108" s="164">
        <v>32</v>
      </c>
      <c r="J108" s="133">
        <v>10</v>
      </c>
      <c r="K108" s="133">
        <v>50</v>
      </c>
      <c r="L108" s="133">
        <v>4.3</v>
      </c>
      <c r="M108" s="163">
        <v>82</v>
      </c>
      <c r="N108" s="38">
        <f>IF(CNC!C$14&gt;=L108,A108)</f>
        <v>107</v>
      </c>
      <c r="O108" s="25" t="b">
        <f>IF(CNC!C$15=I108,A108)</f>
        <v>0</v>
      </c>
      <c r="P108" s="25" t="b">
        <f>IF(CNC!C$16&lt;=J108,A108)</f>
        <v>0</v>
      </c>
      <c r="Q108" s="25" t="b">
        <f>IF(D108=CNC!AR$10,A108)</f>
        <v>0</v>
      </c>
      <c r="R108" s="25" t="b">
        <f t="shared" si="10"/>
        <v>0</v>
      </c>
    </row>
    <row r="109" spans="1:18" ht="17" customHeight="1">
      <c r="A109" s="4">
        <v>108</v>
      </c>
      <c r="B109" s="162">
        <v>5</v>
      </c>
      <c r="C109" s="162">
        <v>2</v>
      </c>
      <c r="D109" s="162">
        <v>1</v>
      </c>
      <c r="E109" s="133" t="s">
        <v>2320</v>
      </c>
      <c r="F109" s="133">
        <v>4</v>
      </c>
      <c r="G109" s="133">
        <v>2.6</v>
      </c>
      <c r="H109" s="133">
        <v>4</v>
      </c>
      <c r="I109" s="164">
        <v>0.5</v>
      </c>
      <c r="J109" s="133">
        <v>7.6</v>
      </c>
      <c r="K109" s="133">
        <v>50</v>
      </c>
      <c r="L109" s="133">
        <v>3.3</v>
      </c>
      <c r="M109" s="163">
        <v>82</v>
      </c>
      <c r="N109" s="38">
        <f>IF(CNC!C$14&gt;=L109,A109)</f>
        <v>108</v>
      </c>
      <c r="O109" s="25" t="b">
        <f>IF(CNC!C$15=I109,A109)</f>
        <v>0</v>
      </c>
      <c r="P109" s="25" t="b">
        <f>IF(CNC!C$16&lt;=J109,A109)</f>
        <v>0</v>
      </c>
      <c r="Q109" s="25">
        <f>IF(D109=CNC!AR$10,A109)</f>
        <v>108</v>
      </c>
      <c r="R109" s="25" t="b">
        <f t="shared" si="10"/>
        <v>0</v>
      </c>
    </row>
    <row r="110" spans="1:18" ht="17" customHeight="1">
      <c r="A110" s="4">
        <v>109</v>
      </c>
      <c r="B110" s="162">
        <v>5</v>
      </c>
      <c r="C110" s="162">
        <v>2</v>
      </c>
      <c r="D110" s="162">
        <v>1</v>
      </c>
      <c r="E110" s="133" t="s">
        <v>2320</v>
      </c>
      <c r="F110" s="133">
        <v>4</v>
      </c>
      <c r="G110" s="133">
        <v>2.6</v>
      </c>
      <c r="H110" s="133">
        <v>4</v>
      </c>
      <c r="I110" s="164">
        <v>0.6</v>
      </c>
      <c r="J110" s="133">
        <v>7.6</v>
      </c>
      <c r="K110" s="133">
        <v>50</v>
      </c>
      <c r="L110" s="133">
        <v>3.3</v>
      </c>
      <c r="M110" s="163">
        <v>82</v>
      </c>
      <c r="N110" s="38">
        <f>IF(CNC!C$14&gt;=L110,A110)</f>
        <v>109</v>
      </c>
      <c r="O110" s="25" t="b">
        <f>IF(CNC!C$15=I110,A110)</f>
        <v>0</v>
      </c>
      <c r="P110" s="25" t="b">
        <f>IF(CNC!C$16&lt;=J110,A110)</f>
        <v>0</v>
      </c>
      <c r="Q110" s="25">
        <f>IF(D110=CNC!AR$10,A110)</f>
        <v>109</v>
      </c>
      <c r="R110" s="25" t="b">
        <f t="shared" si="10"/>
        <v>0</v>
      </c>
    </row>
    <row r="111" spans="1:18" ht="17" customHeight="1">
      <c r="A111" s="4">
        <v>110</v>
      </c>
      <c r="B111" s="162">
        <v>5</v>
      </c>
      <c r="C111" s="162">
        <v>2</v>
      </c>
      <c r="D111" s="162">
        <v>1</v>
      </c>
      <c r="E111" s="133" t="s">
        <v>2320</v>
      </c>
      <c r="F111" s="133">
        <v>4</v>
      </c>
      <c r="G111" s="133">
        <v>2.6</v>
      </c>
      <c r="H111" s="133">
        <v>4</v>
      </c>
      <c r="I111" s="164">
        <v>0.7</v>
      </c>
      <c r="J111" s="133">
        <v>7.6</v>
      </c>
      <c r="K111" s="133">
        <v>50</v>
      </c>
      <c r="L111" s="133">
        <v>3.3</v>
      </c>
      <c r="M111" s="163">
        <v>82</v>
      </c>
      <c r="N111" s="38">
        <f>IF(CNC!C$14&gt;=L111,A111)</f>
        <v>110</v>
      </c>
      <c r="O111" s="25" t="b">
        <f>IF(CNC!C$15=I111,A111)</f>
        <v>0</v>
      </c>
      <c r="P111" s="25" t="b">
        <f>IF(CNC!C$16&lt;=J111,A111)</f>
        <v>0</v>
      </c>
      <c r="Q111" s="25">
        <f>IF(D111=CNC!AR$10,A111)</f>
        <v>110</v>
      </c>
      <c r="R111" s="25" t="b">
        <f t="shared" si="10"/>
        <v>0</v>
      </c>
    </row>
    <row r="112" spans="1:18" ht="17" customHeight="1">
      <c r="A112" s="4">
        <v>111</v>
      </c>
      <c r="B112" s="162">
        <v>5</v>
      </c>
      <c r="C112" s="162">
        <v>2</v>
      </c>
      <c r="D112" s="162">
        <v>1</v>
      </c>
      <c r="E112" s="133" t="s">
        <v>2320</v>
      </c>
      <c r="F112" s="133">
        <v>4</v>
      </c>
      <c r="G112" s="133">
        <v>2.6</v>
      </c>
      <c r="H112" s="133">
        <v>4</v>
      </c>
      <c r="I112" s="164">
        <v>0.75</v>
      </c>
      <c r="J112" s="133">
        <v>7.6</v>
      </c>
      <c r="K112" s="133">
        <v>50</v>
      </c>
      <c r="L112" s="133">
        <v>3.3</v>
      </c>
      <c r="M112" s="163">
        <v>82</v>
      </c>
      <c r="N112" s="38">
        <f>IF(CNC!C$14&gt;=L112,A112)</f>
        <v>111</v>
      </c>
      <c r="O112" s="25" t="b">
        <f>IF(CNC!C$15=I112,A112)</f>
        <v>0</v>
      </c>
      <c r="P112" s="25" t="b">
        <f>IF(CNC!C$16&lt;=J112,A112)</f>
        <v>0</v>
      </c>
      <c r="Q112" s="25">
        <f>IF(D112=CNC!AR$10,A112)</f>
        <v>111</v>
      </c>
      <c r="R112" s="25" t="b">
        <f t="shared" si="10"/>
        <v>0</v>
      </c>
    </row>
    <row r="113" spans="1:18" ht="17" customHeight="1">
      <c r="A113" s="4">
        <v>112</v>
      </c>
      <c r="B113" s="162">
        <v>5</v>
      </c>
      <c r="C113" s="162">
        <v>2</v>
      </c>
      <c r="D113" s="162">
        <v>2</v>
      </c>
      <c r="E113" s="133" t="s">
        <v>2320</v>
      </c>
      <c r="F113" s="133">
        <v>4</v>
      </c>
      <c r="G113" s="133">
        <v>2.6</v>
      </c>
      <c r="H113" s="133">
        <v>4</v>
      </c>
      <c r="I113" s="164">
        <v>32</v>
      </c>
      <c r="J113" s="133">
        <v>7.6</v>
      </c>
      <c r="K113" s="133">
        <v>50</v>
      </c>
      <c r="L113" s="133">
        <v>3.3</v>
      </c>
      <c r="M113" s="163">
        <v>82</v>
      </c>
      <c r="N113" s="38">
        <f>IF(CNC!C$14&gt;=L113,A113)</f>
        <v>112</v>
      </c>
      <c r="O113" s="25" t="b">
        <f>IF(CNC!C$15=I113,A113)</f>
        <v>0</v>
      </c>
      <c r="P113" s="25" t="b">
        <f>IF(CNC!C$16&lt;=J113,A113)</f>
        <v>0</v>
      </c>
      <c r="Q113" s="25" t="b">
        <f>IF(D113=CNC!AR$10,A113)</f>
        <v>0</v>
      </c>
      <c r="R113" s="25" t="b">
        <f t="shared" si="10"/>
        <v>0</v>
      </c>
    </row>
    <row r="114" spans="1:18" ht="17" customHeight="1">
      <c r="A114" s="4">
        <v>113</v>
      </c>
      <c r="B114" s="162">
        <v>5</v>
      </c>
      <c r="C114" s="162">
        <v>2</v>
      </c>
      <c r="D114" s="162">
        <v>2</v>
      </c>
      <c r="E114" s="133" t="s">
        <v>2320</v>
      </c>
      <c r="F114" s="133">
        <v>4</v>
      </c>
      <c r="G114" s="133">
        <v>2.6</v>
      </c>
      <c r="H114" s="133">
        <v>4</v>
      </c>
      <c r="I114" s="164">
        <v>36</v>
      </c>
      <c r="J114" s="133">
        <v>7.6</v>
      </c>
      <c r="K114" s="133">
        <v>50</v>
      </c>
      <c r="L114" s="133">
        <v>3.3</v>
      </c>
      <c r="M114" s="163">
        <v>82</v>
      </c>
      <c r="N114" s="38">
        <f>IF(CNC!C$14&gt;=L114,A114)</f>
        <v>113</v>
      </c>
      <c r="O114" s="25" t="b">
        <f>IF(CNC!C$15=I114,A114)</f>
        <v>0</v>
      </c>
      <c r="P114" s="25" t="b">
        <f>IF(CNC!C$16&lt;=J114,A114)</f>
        <v>0</v>
      </c>
      <c r="Q114" s="25" t="b">
        <f>IF(D114=CNC!AR$10,A114)</f>
        <v>0</v>
      </c>
      <c r="R114" s="25" t="b">
        <f t="shared" si="10"/>
        <v>0</v>
      </c>
    </row>
    <row r="115" spans="1:18" ht="17" customHeight="1">
      <c r="A115" s="4">
        <v>114</v>
      </c>
      <c r="B115" s="162">
        <v>5</v>
      </c>
      <c r="C115" s="162">
        <v>2</v>
      </c>
      <c r="D115" s="162">
        <v>2</v>
      </c>
      <c r="E115" s="133" t="s">
        <v>2320</v>
      </c>
      <c r="F115" s="133">
        <v>4</v>
      </c>
      <c r="G115" s="133">
        <v>2.6</v>
      </c>
      <c r="H115" s="133">
        <v>4</v>
      </c>
      <c r="I115" s="164">
        <v>40</v>
      </c>
      <c r="J115" s="133">
        <v>7.6</v>
      </c>
      <c r="K115" s="133">
        <v>50</v>
      </c>
      <c r="L115" s="133">
        <v>3.3</v>
      </c>
      <c r="M115" s="163">
        <v>82</v>
      </c>
      <c r="N115" s="38">
        <f>IF(CNC!C$14&gt;=L115,A115)</f>
        <v>114</v>
      </c>
      <c r="O115" s="25" t="b">
        <f>IF(CNC!C$15=I115,A115)</f>
        <v>0</v>
      </c>
      <c r="P115" s="25" t="b">
        <f>IF(CNC!C$16&lt;=J115,A115)</f>
        <v>0</v>
      </c>
      <c r="Q115" s="25" t="b">
        <f>IF(D115=CNC!AR$10,A115)</f>
        <v>0</v>
      </c>
      <c r="R115" s="25" t="b">
        <f t="shared" si="10"/>
        <v>0</v>
      </c>
    </row>
    <row r="116" spans="1:18" ht="17" customHeight="1">
      <c r="A116" s="4">
        <v>115</v>
      </c>
      <c r="B116" s="162">
        <v>5</v>
      </c>
      <c r="C116" s="162">
        <v>2</v>
      </c>
      <c r="D116" s="162">
        <v>1</v>
      </c>
      <c r="E116" s="133" t="s">
        <v>2321</v>
      </c>
      <c r="F116" s="133">
        <v>4</v>
      </c>
      <c r="G116" s="133">
        <v>2.6</v>
      </c>
      <c r="H116" s="133">
        <v>4</v>
      </c>
      <c r="I116" s="164">
        <v>0.5</v>
      </c>
      <c r="J116" s="133">
        <v>11.1</v>
      </c>
      <c r="K116" s="133">
        <v>50</v>
      </c>
      <c r="L116" s="133">
        <v>3.3</v>
      </c>
      <c r="M116" s="163">
        <v>90.2</v>
      </c>
      <c r="N116" s="38">
        <f>IF(CNC!C$14&gt;=L116,A116)</f>
        <v>115</v>
      </c>
      <c r="O116" s="25" t="b">
        <f>IF(CNC!C$15=I116,A116)</f>
        <v>0</v>
      </c>
      <c r="P116" s="25" t="b">
        <f>IF(CNC!C$16&lt;=J116,A116)</f>
        <v>0</v>
      </c>
      <c r="Q116" s="25">
        <f>IF(D116=CNC!AR$10,A116)</f>
        <v>115</v>
      </c>
      <c r="R116" s="25" t="b">
        <f t="shared" si="10"/>
        <v>0</v>
      </c>
    </row>
    <row r="117" spans="1:18" ht="17" customHeight="1">
      <c r="A117" s="4">
        <v>116</v>
      </c>
      <c r="B117" s="162">
        <v>5</v>
      </c>
      <c r="C117" s="162">
        <v>2</v>
      </c>
      <c r="D117" s="162">
        <v>1</v>
      </c>
      <c r="E117" s="133" t="s">
        <v>2321</v>
      </c>
      <c r="F117" s="133">
        <v>4</v>
      </c>
      <c r="G117" s="133">
        <v>2.6</v>
      </c>
      <c r="H117" s="133">
        <v>4</v>
      </c>
      <c r="I117" s="164">
        <v>0.6</v>
      </c>
      <c r="J117" s="133">
        <v>11.1</v>
      </c>
      <c r="K117" s="133">
        <v>50</v>
      </c>
      <c r="L117" s="133">
        <v>3.3</v>
      </c>
      <c r="M117" s="163">
        <v>90.2</v>
      </c>
      <c r="N117" s="38">
        <f>IF(CNC!C$14&gt;=L117,A117)</f>
        <v>116</v>
      </c>
      <c r="O117" s="25" t="b">
        <f>IF(CNC!C$15=I117,A117)</f>
        <v>0</v>
      </c>
      <c r="P117" s="25" t="b">
        <f>IF(CNC!C$16&lt;=J117,A117)</f>
        <v>0</v>
      </c>
      <c r="Q117" s="25">
        <f>IF(D117=CNC!AR$10,A117)</f>
        <v>116</v>
      </c>
      <c r="R117" s="25" t="b">
        <f t="shared" si="10"/>
        <v>0</v>
      </c>
    </row>
    <row r="118" spans="1:18" ht="17" customHeight="1">
      <c r="A118" s="4">
        <v>117</v>
      </c>
      <c r="B118" s="162">
        <v>5</v>
      </c>
      <c r="C118" s="162">
        <v>2</v>
      </c>
      <c r="D118" s="162">
        <v>1</v>
      </c>
      <c r="E118" s="133" t="s">
        <v>2321</v>
      </c>
      <c r="F118" s="133">
        <v>4</v>
      </c>
      <c r="G118" s="133">
        <v>2.6</v>
      </c>
      <c r="H118" s="133">
        <v>4</v>
      </c>
      <c r="I118" s="164">
        <v>0.7</v>
      </c>
      <c r="J118" s="133">
        <v>11.1</v>
      </c>
      <c r="K118" s="133">
        <v>50</v>
      </c>
      <c r="L118" s="133">
        <v>3.3</v>
      </c>
      <c r="M118" s="163">
        <v>90.2</v>
      </c>
      <c r="N118" s="38">
        <f>IF(CNC!C$14&gt;=L118,A118)</f>
        <v>117</v>
      </c>
      <c r="O118" s="25" t="b">
        <f>IF(CNC!C$15=I118,A118)</f>
        <v>0</v>
      </c>
      <c r="P118" s="25" t="b">
        <f>IF(CNC!C$16&lt;=J118,A118)</f>
        <v>0</v>
      </c>
      <c r="Q118" s="25">
        <f>IF(D118=CNC!AR$10,A118)</f>
        <v>117</v>
      </c>
      <c r="R118" s="25" t="b">
        <f t="shared" si="10"/>
        <v>0</v>
      </c>
    </row>
    <row r="119" spans="1:18" ht="17" customHeight="1">
      <c r="A119" s="4">
        <v>118</v>
      </c>
      <c r="B119" s="162">
        <v>5</v>
      </c>
      <c r="C119" s="162">
        <v>2</v>
      </c>
      <c r="D119" s="162">
        <v>1</v>
      </c>
      <c r="E119" s="133" t="s">
        <v>2321</v>
      </c>
      <c r="F119" s="133">
        <v>4</v>
      </c>
      <c r="G119" s="133">
        <v>2.6</v>
      </c>
      <c r="H119" s="133">
        <v>4</v>
      </c>
      <c r="I119" s="164">
        <v>0.75</v>
      </c>
      <c r="J119" s="133">
        <v>11.1</v>
      </c>
      <c r="K119" s="133">
        <v>50</v>
      </c>
      <c r="L119" s="133">
        <v>3.3</v>
      </c>
      <c r="M119" s="163">
        <v>90.2</v>
      </c>
      <c r="N119" s="38">
        <f>IF(CNC!C$14&gt;=L119,A119)</f>
        <v>118</v>
      </c>
      <c r="O119" s="25" t="b">
        <f>IF(CNC!C$15=I119,A119)</f>
        <v>0</v>
      </c>
      <c r="P119" s="25" t="b">
        <f>IF(CNC!C$16&lt;=J119,A119)</f>
        <v>0</v>
      </c>
      <c r="Q119" s="25">
        <f>IF(D119=CNC!AR$10,A119)</f>
        <v>118</v>
      </c>
      <c r="R119" s="25" t="b">
        <f t="shared" si="10"/>
        <v>0</v>
      </c>
    </row>
    <row r="120" spans="1:18" ht="17" customHeight="1">
      <c r="A120" s="4">
        <v>119</v>
      </c>
      <c r="B120" s="162">
        <v>5</v>
      </c>
      <c r="C120" s="162">
        <v>2</v>
      </c>
      <c r="D120" s="162">
        <v>2</v>
      </c>
      <c r="E120" s="133" t="s">
        <v>2321</v>
      </c>
      <c r="F120" s="133">
        <v>4</v>
      </c>
      <c r="G120" s="133">
        <v>2.6</v>
      </c>
      <c r="H120" s="133">
        <v>4</v>
      </c>
      <c r="I120" s="164">
        <v>32</v>
      </c>
      <c r="J120" s="133">
        <v>11.1</v>
      </c>
      <c r="K120" s="133">
        <v>50</v>
      </c>
      <c r="L120" s="133">
        <v>3.3</v>
      </c>
      <c r="M120" s="163">
        <v>90.2</v>
      </c>
      <c r="N120" s="38">
        <f>IF(CNC!C$14&gt;=L120,A120)</f>
        <v>119</v>
      </c>
      <c r="O120" s="25" t="b">
        <f>IF(CNC!C$15=I120,A120)</f>
        <v>0</v>
      </c>
      <c r="P120" s="25" t="b">
        <f>IF(CNC!C$16&lt;=J120,A120)</f>
        <v>0</v>
      </c>
      <c r="Q120" s="25" t="b">
        <f>IF(D120=CNC!AR$10,A120)</f>
        <v>0</v>
      </c>
      <c r="R120" s="25" t="b">
        <f t="shared" si="10"/>
        <v>0</v>
      </c>
    </row>
    <row r="121" spans="1:18" ht="17" customHeight="1">
      <c r="A121" s="4">
        <v>120</v>
      </c>
      <c r="B121" s="162">
        <v>5</v>
      </c>
      <c r="C121" s="162">
        <v>2</v>
      </c>
      <c r="D121" s="162">
        <v>2</v>
      </c>
      <c r="E121" s="133" t="s">
        <v>2321</v>
      </c>
      <c r="F121" s="133">
        <v>4</v>
      </c>
      <c r="G121" s="133">
        <v>2.6</v>
      </c>
      <c r="H121" s="133">
        <v>4</v>
      </c>
      <c r="I121" s="164">
        <v>36</v>
      </c>
      <c r="J121" s="133">
        <v>11.1</v>
      </c>
      <c r="K121" s="133">
        <v>50</v>
      </c>
      <c r="L121" s="133">
        <v>3.3</v>
      </c>
      <c r="M121" s="163">
        <v>90.2</v>
      </c>
      <c r="N121" s="38">
        <f>IF(CNC!C$14&gt;=L121,A121)</f>
        <v>120</v>
      </c>
      <c r="O121" s="25" t="b">
        <f>IF(CNC!C$15=I121,A121)</f>
        <v>0</v>
      </c>
      <c r="P121" s="25" t="b">
        <f>IF(CNC!C$16&lt;=J121,A121)</f>
        <v>0</v>
      </c>
      <c r="Q121" s="25" t="b">
        <f>IF(D121=CNC!AR$10,A121)</f>
        <v>0</v>
      </c>
      <c r="R121" s="25" t="b">
        <f t="shared" si="10"/>
        <v>0</v>
      </c>
    </row>
    <row r="122" spans="1:18" ht="17" customHeight="1">
      <c r="A122" s="4">
        <v>121</v>
      </c>
      <c r="B122" s="162">
        <v>5</v>
      </c>
      <c r="C122" s="162">
        <v>2</v>
      </c>
      <c r="D122" s="162">
        <v>2</v>
      </c>
      <c r="E122" s="133" t="s">
        <v>2321</v>
      </c>
      <c r="F122" s="133">
        <v>4</v>
      </c>
      <c r="G122" s="133">
        <v>2.6</v>
      </c>
      <c r="H122" s="133">
        <v>4</v>
      </c>
      <c r="I122" s="164">
        <v>40</v>
      </c>
      <c r="J122" s="133">
        <v>11.1</v>
      </c>
      <c r="K122" s="133">
        <v>50</v>
      </c>
      <c r="L122" s="133">
        <v>3.3</v>
      </c>
      <c r="M122" s="163">
        <v>90.2</v>
      </c>
      <c r="N122" s="38">
        <f>IF(CNC!C$14&gt;=L122,A122)</f>
        <v>121</v>
      </c>
      <c r="O122" s="25" t="b">
        <f>IF(CNC!C$15=I122,A122)</f>
        <v>0</v>
      </c>
      <c r="P122" s="25" t="b">
        <f>IF(CNC!C$16&lt;=J122,A122)</f>
        <v>0</v>
      </c>
      <c r="Q122" s="25" t="b">
        <f>IF(D122=CNC!AR$10,A122)</f>
        <v>0</v>
      </c>
      <c r="R122" s="25" t="b">
        <f t="shared" si="10"/>
        <v>0</v>
      </c>
    </row>
    <row r="123" spans="1:18" ht="17" customHeight="1">
      <c r="A123" s="4">
        <v>122</v>
      </c>
      <c r="B123" s="162">
        <v>5</v>
      </c>
      <c r="C123" s="162">
        <v>2</v>
      </c>
      <c r="D123" s="162">
        <v>1</v>
      </c>
      <c r="E123" s="133" t="s">
        <v>2319</v>
      </c>
      <c r="F123" s="133">
        <v>4</v>
      </c>
      <c r="G123" s="133">
        <v>2.2999999999999998</v>
      </c>
      <c r="H123" s="133">
        <v>4</v>
      </c>
      <c r="I123" s="164">
        <v>0.5</v>
      </c>
      <c r="J123" s="133">
        <v>9.5</v>
      </c>
      <c r="K123" s="133">
        <v>50</v>
      </c>
      <c r="L123" s="133">
        <v>2.8</v>
      </c>
      <c r="M123" s="163">
        <v>90.2</v>
      </c>
      <c r="N123" s="38">
        <f>IF(CNC!C$14&gt;=L123,A123)</f>
        <v>122</v>
      </c>
      <c r="O123" s="25" t="b">
        <f>IF(CNC!C$15=I123,A123)</f>
        <v>0</v>
      </c>
      <c r="P123" s="25" t="b">
        <f>IF(CNC!C$16&lt;=J123,A123)</f>
        <v>0</v>
      </c>
      <c r="Q123" s="25">
        <f>IF(D123=CNC!AR$10,A123)</f>
        <v>122</v>
      </c>
      <c r="R123" s="25" t="b">
        <f t="shared" si="10"/>
        <v>0</v>
      </c>
    </row>
    <row r="124" spans="1:18" ht="17" customHeight="1">
      <c r="A124" s="4">
        <v>123</v>
      </c>
      <c r="B124" s="162">
        <v>5</v>
      </c>
      <c r="C124" s="162">
        <v>2</v>
      </c>
      <c r="D124" s="162">
        <v>1</v>
      </c>
      <c r="E124" s="133" t="s">
        <v>2319</v>
      </c>
      <c r="F124" s="133">
        <v>4</v>
      </c>
      <c r="G124" s="133">
        <v>2.2999999999999998</v>
      </c>
      <c r="H124" s="133">
        <v>4</v>
      </c>
      <c r="I124" s="164">
        <v>0.6</v>
      </c>
      <c r="J124" s="133">
        <v>9.5</v>
      </c>
      <c r="K124" s="133">
        <v>50</v>
      </c>
      <c r="L124" s="133">
        <v>2.8</v>
      </c>
      <c r="M124" s="163">
        <v>90.2</v>
      </c>
      <c r="N124" s="38">
        <f>IF(CNC!C$14&gt;=L124,A124)</f>
        <v>123</v>
      </c>
      <c r="O124" s="25" t="b">
        <f>IF(CNC!C$15=I124,A124)</f>
        <v>0</v>
      </c>
      <c r="P124" s="25" t="b">
        <f>IF(CNC!C$16&lt;=J124,A124)</f>
        <v>0</v>
      </c>
      <c r="Q124" s="25">
        <f>IF(D124=CNC!AR$10,A124)</f>
        <v>123</v>
      </c>
      <c r="R124" s="25" t="b">
        <f t="shared" si="10"/>
        <v>0</v>
      </c>
    </row>
    <row r="125" spans="1:18" ht="17" customHeight="1">
      <c r="A125" s="4">
        <v>124</v>
      </c>
      <c r="B125" s="162">
        <v>5</v>
      </c>
      <c r="C125" s="162">
        <v>2</v>
      </c>
      <c r="D125" s="162">
        <v>2</v>
      </c>
      <c r="E125" s="133" t="s">
        <v>2319</v>
      </c>
      <c r="F125" s="133">
        <v>4</v>
      </c>
      <c r="G125" s="133">
        <v>2.2999999999999998</v>
      </c>
      <c r="H125" s="133">
        <v>4</v>
      </c>
      <c r="I125" s="164">
        <v>40</v>
      </c>
      <c r="J125" s="133">
        <v>9.5</v>
      </c>
      <c r="K125" s="133">
        <v>50</v>
      </c>
      <c r="L125" s="133">
        <v>2.8</v>
      </c>
      <c r="M125" s="163">
        <v>90.2</v>
      </c>
      <c r="N125" s="38">
        <f>IF(CNC!C$14&gt;=L125,A125)</f>
        <v>124</v>
      </c>
      <c r="O125" s="25" t="b">
        <f>IF(CNC!C$15=I125,A125)</f>
        <v>0</v>
      </c>
      <c r="P125" s="25" t="b">
        <f>IF(CNC!C$16&lt;=J125,A125)</f>
        <v>0</v>
      </c>
      <c r="Q125" s="25" t="b">
        <f>IF(D125=CNC!AR$10,A125)</f>
        <v>0</v>
      </c>
      <c r="R125" s="25" t="b">
        <f t="shared" si="10"/>
        <v>0</v>
      </c>
    </row>
    <row r="126" spans="1:18" ht="17" customHeight="1">
      <c r="A126" s="4">
        <v>125</v>
      </c>
      <c r="B126" s="162">
        <v>5</v>
      </c>
      <c r="C126" s="162">
        <v>2</v>
      </c>
      <c r="D126" s="162">
        <v>2</v>
      </c>
      <c r="E126" s="133" t="s">
        <v>2319</v>
      </c>
      <c r="F126" s="133">
        <v>4</v>
      </c>
      <c r="G126" s="133">
        <v>2.2999999999999998</v>
      </c>
      <c r="H126" s="133">
        <v>4</v>
      </c>
      <c r="I126" s="164">
        <v>44</v>
      </c>
      <c r="J126" s="133">
        <v>9.5</v>
      </c>
      <c r="K126" s="133">
        <v>50</v>
      </c>
      <c r="L126" s="133">
        <v>2.8</v>
      </c>
      <c r="M126" s="163">
        <v>90.2</v>
      </c>
      <c r="N126" s="38">
        <f>IF(CNC!C$14&gt;=L126,A126)</f>
        <v>125</v>
      </c>
      <c r="O126" s="25" t="b">
        <f>IF(CNC!C$15=I126,A126)</f>
        <v>0</v>
      </c>
      <c r="P126" s="25" t="b">
        <f>IF(CNC!C$16&lt;=J126,A126)</f>
        <v>0</v>
      </c>
      <c r="Q126" s="25" t="b">
        <f>IF(D126=CNC!AR$10,A126)</f>
        <v>0</v>
      </c>
      <c r="R126" s="25" t="b">
        <f t="shared" si="10"/>
        <v>0</v>
      </c>
    </row>
    <row r="127" spans="1:18" ht="17" customHeight="1">
      <c r="A127" s="4">
        <v>126</v>
      </c>
      <c r="B127" s="162">
        <v>5</v>
      </c>
      <c r="C127" s="162">
        <v>2</v>
      </c>
      <c r="D127" s="162">
        <v>1</v>
      </c>
      <c r="E127" s="133" t="s">
        <v>2318</v>
      </c>
      <c r="F127" s="133">
        <v>4</v>
      </c>
      <c r="G127" s="133">
        <v>2.2999999999999998</v>
      </c>
      <c r="H127" s="133">
        <v>4</v>
      </c>
      <c r="I127" s="164">
        <v>0.5</v>
      </c>
      <c r="J127" s="133">
        <v>6.5</v>
      </c>
      <c r="K127" s="133">
        <v>50</v>
      </c>
      <c r="L127" s="133">
        <v>2.8</v>
      </c>
      <c r="M127" s="163">
        <v>82</v>
      </c>
      <c r="N127" s="38">
        <f>IF(CNC!C$14&gt;=L127,A127)</f>
        <v>126</v>
      </c>
      <c r="O127" s="25" t="b">
        <f>IF(CNC!C$15=I127,A127)</f>
        <v>0</v>
      </c>
      <c r="P127" s="25" t="b">
        <f>IF(CNC!C$16&lt;=J127,A127)</f>
        <v>0</v>
      </c>
      <c r="Q127" s="25">
        <f>IF(D127=CNC!AR$10,A127)</f>
        <v>126</v>
      </c>
      <c r="R127" s="25" t="b">
        <f t="shared" si="10"/>
        <v>0</v>
      </c>
    </row>
    <row r="128" spans="1:18" ht="17" customHeight="1">
      <c r="A128" s="4">
        <v>127</v>
      </c>
      <c r="B128" s="162">
        <v>5</v>
      </c>
      <c r="C128" s="162">
        <v>2</v>
      </c>
      <c r="D128" s="162">
        <v>1</v>
      </c>
      <c r="E128" s="133" t="s">
        <v>2318</v>
      </c>
      <c r="F128" s="133">
        <v>4</v>
      </c>
      <c r="G128" s="133">
        <v>2.2999999999999998</v>
      </c>
      <c r="H128" s="133">
        <v>4</v>
      </c>
      <c r="I128" s="164">
        <v>0.6</v>
      </c>
      <c r="J128" s="133">
        <v>6.5</v>
      </c>
      <c r="K128" s="133">
        <v>50</v>
      </c>
      <c r="L128" s="133">
        <v>2.8</v>
      </c>
      <c r="M128" s="163">
        <v>82</v>
      </c>
      <c r="N128" s="38">
        <f>IF(CNC!C$14&gt;=L128,A128)</f>
        <v>127</v>
      </c>
      <c r="O128" s="25" t="b">
        <f>IF(CNC!C$15=I128,A128)</f>
        <v>0</v>
      </c>
      <c r="P128" s="25" t="b">
        <f>IF(CNC!C$16&lt;=J128,A128)</f>
        <v>0</v>
      </c>
      <c r="Q128" s="25">
        <f>IF(D128=CNC!AR$10,A128)</f>
        <v>127</v>
      </c>
      <c r="R128" s="25" t="b">
        <f t="shared" si="10"/>
        <v>0</v>
      </c>
    </row>
    <row r="129" spans="1:18" ht="17" customHeight="1">
      <c r="A129" s="4">
        <v>128</v>
      </c>
      <c r="B129" s="162">
        <v>5</v>
      </c>
      <c r="C129" s="162">
        <v>2</v>
      </c>
      <c r="D129" s="162">
        <v>2</v>
      </c>
      <c r="E129" s="133" t="s">
        <v>2318</v>
      </c>
      <c r="F129" s="133">
        <v>4</v>
      </c>
      <c r="G129" s="133">
        <v>2.2999999999999998</v>
      </c>
      <c r="H129" s="133">
        <v>4</v>
      </c>
      <c r="I129" s="164">
        <v>40</v>
      </c>
      <c r="J129" s="133">
        <v>6.5</v>
      </c>
      <c r="K129" s="133">
        <v>50</v>
      </c>
      <c r="L129" s="133">
        <v>2.8</v>
      </c>
      <c r="M129" s="163">
        <v>82</v>
      </c>
      <c r="N129" s="38">
        <f>IF(CNC!C$14&gt;=L129,A129)</f>
        <v>128</v>
      </c>
      <c r="O129" s="25" t="b">
        <f>IF(CNC!C$15=I129,A129)</f>
        <v>0</v>
      </c>
      <c r="P129" s="25" t="b">
        <f>IF(CNC!C$16&lt;=J129,A129)</f>
        <v>0</v>
      </c>
      <c r="Q129" s="25" t="b">
        <f>IF(D129=CNC!AR$10,A129)</f>
        <v>0</v>
      </c>
      <c r="R129" s="25" t="b">
        <f t="shared" si="10"/>
        <v>0</v>
      </c>
    </row>
    <row r="130" spans="1:18" ht="17" customHeight="1">
      <c r="A130" s="4">
        <v>129</v>
      </c>
      <c r="B130" s="162">
        <v>5</v>
      </c>
      <c r="C130" s="162">
        <v>2</v>
      </c>
      <c r="D130" s="162">
        <v>2</v>
      </c>
      <c r="E130" s="133" t="s">
        <v>2318</v>
      </c>
      <c r="F130" s="133">
        <v>4</v>
      </c>
      <c r="G130" s="133">
        <v>2.2999999999999998</v>
      </c>
      <c r="H130" s="133">
        <v>4</v>
      </c>
      <c r="I130" s="164">
        <v>44</v>
      </c>
      <c r="J130" s="133">
        <v>6.5</v>
      </c>
      <c r="K130" s="133">
        <v>50</v>
      </c>
      <c r="L130" s="133">
        <v>2.8</v>
      </c>
      <c r="M130" s="163">
        <v>82</v>
      </c>
      <c r="N130" s="38">
        <f>IF(CNC!C$14&gt;=L130,A130)</f>
        <v>129</v>
      </c>
      <c r="O130" s="25" t="b">
        <f>IF(CNC!C$15=I130,A130)</f>
        <v>0</v>
      </c>
      <c r="P130" s="25" t="b">
        <f>IF(CNC!C$16&lt;=J130,A130)</f>
        <v>0</v>
      </c>
      <c r="Q130" s="25" t="b">
        <f>IF(D130=CNC!AR$10,A130)</f>
        <v>0</v>
      </c>
      <c r="R130" s="25" t="b">
        <f t="shared" ref="R130:R192" si="11">IF(N130=FALSE,FALSE,IF(O130=FALSE,FALSE,IF(P130=FALSE,FALSE,IF(Q130=FALSE,FALSE,A130))))</f>
        <v>0</v>
      </c>
    </row>
    <row r="131" spans="1:18" ht="17" customHeight="1">
      <c r="A131" s="4">
        <v>130</v>
      </c>
      <c r="B131" s="162">
        <v>5</v>
      </c>
      <c r="C131" s="162">
        <v>2</v>
      </c>
      <c r="D131" s="162">
        <v>2</v>
      </c>
      <c r="E131" s="133" t="s">
        <v>2317</v>
      </c>
      <c r="F131" s="133">
        <v>4</v>
      </c>
      <c r="G131" s="133">
        <v>2.1</v>
      </c>
      <c r="H131" s="133">
        <v>4</v>
      </c>
      <c r="I131" s="164">
        <v>40</v>
      </c>
      <c r="J131" s="133">
        <v>9.1999999999999993</v>
      </c>
      <c r="K131" s="133">
        <v>50</v>
      </c>
      <c r="L131" s="133">
        <v>2.645</v>
      </c>
      <c r="M131" s="163">
        <v>90.2</v>
      </c>
      <c r="N131" s="38">
        <f>IF(CNC!C$14&gt;=L131,A131)</f>
        <v>130</v>
      </c>
      <c r="O131" s="25" t="b">
        <f>IF(CNC!C$15=I131,A131)</f>
        <v>0</v>
      </c>
      <c r="P131" s="25" t="b">
        <f>IF(CNC!C$16&lt;=J131,A131)</f>
        <v>0</v>
      </c>
      <c r="Q131" s="25" t="b">
        <f>IF(D131=CNC!AR$10,A131)</f>
        <v>0</v>
      </c>
      <c r="R131" s="25" t="b">
        <f t="shared" si="11"/>
        <v>0</v>
      </c>
    </row>
    <row r="132" spans="1:18" ht="17" customHeight="1">
      <c r="A132" s="4">
        <v>131</v>
      </c>
      <c r="B132" s="162">
        <v>5</v>
      </c>
      <c r="C132" s="162">
        <v>2</v>
      </c>
      <c r="D132" s="162">
        <v>2</v>
      </c>
      <c r="E132" s="133" t="s">
        <v>2316</v>
      </c>
      <c r="F132" s="133">
        <v>4</v>
      </c>
      <c r="G132" s="133">
        <v>2.1</v>
      </c>
      <c r="H132" s="133">
        <v>4</v>
      </c>
      <c r="I132" s="164">
        <v>40</v>
      </c>
      <c r="J132" s="133">
        <v>6.4</v>
      </c>
      <c r="K132" s="133">
        <v>50</v>
      </c>
      <c r="L132" s="133">
        <v>2.645</v>
      </c>
      <c r="M132" s="163">
        <v>82</v>
      </c>
      <c r="N132" s="38">
        <f>IF(CNC!C$14&gt;=L132,A132)</f>
        <v>131</v>
      </c>
      <c r="O132" s="25" t="b">
        <f>IF(CNC!C$15=I132,A132)</f>
        <v>0</v>
      </c>
      <c r="P132" s="25" t="b">
        <f>IF(CNC!C$16&lt;=J132,A132)</f>
        <v>0</v>
      </c>
      <c r="Q132" s="25" t="b">
        <f>IF(D132=CNC!AR$10,A132)</f>
        <v>0</v>
      </c>
      <c r="R132" s="25" t="b">
        <f t="shared" si="11"/>
        <v>0</v>
      </c>
    </row>
    <row r="133" spans="1:18" ht="17" customHeight="1">
      <c r="A133" s="4">
        <v>132</v>
      </c>
      <c r="B133" s="162">
        <v>5</v>
      </c>
      <c r="C133" s="162">
        <v>2</v>
      </c>
      <c r="D133" s="162">
        <v>1</v>
      </c>
      <c r="E133" s="133" t="s">
        <v>2315</v>
      </c>
      <c r="F133" s="133">
        <v>4</v>
      </c>
      <c r="G133" s="133">
        <v>1.9</v>
      </c>
      <c r="H133" s="133">
        <v>4</v>
      </c>
      <c r="I133" s="164">
        <v>0.45</v>
      </c>
      <c r="J133" s="133">
        <v>8</v>
      </c>
      <c r="K133" s="133">
        <v>50</v>
      </c>
      <c r="L133" s="133">
        <v>2.2999999999999998</v>
      </c>
      <c r="M133" s="163">
        <v>90.2</v>
      </c>
      <c r="N133" s="38">
        <f>IF(CNC!C$14&gt;=L133,A133)</f>
        <v>132</v>
      </c>
      <c r="O133" s="25" t="b">
        <f>IF(CNC!C$15=I133,A133)</f>
        <v>0</v>
      </c>
      <c r="P133" s="25" t="b">
        <f>IF(CNC!C$16&lt;=J133,A133)</f>
        <v>0</v>
      </c>
      <c r="Q133" s="25">
        <f>IF(D133=CNC!AR$10,A133)</f>
        <v>132</v>
      </c>
      <c r="R133" s="25" t="b">
        <f t="shared" si="11"/>
        <v>0</v>
      </c>
    </row>
    <row r="134" spans="1:18" ht="17" customHeight="1">
      <c r="A134" s="4">
        <v>133</v>
      </c>
      <c r="B134" s="162">
        <v>5</v>
      </c>
      <c r="C134" s="162">
        <v>2</v>
      </c>
      <c r="D134" s="162">
        <v>1</v>
      </c>
      <c r="E134" s="133" t="s">
        <v>2315</v>
      </c>
      <c r="F134" s="133">
        <v>4</v>
      </c>
      <c r="G134" s="133">
        <v>1.9</v>
      </c>
      <c r="H134" s="133">
        <v>4</v>
      </c>
      <c r="I134" s="164">
        <v>0.5</v>
      </c>
      <c r="J134" s="133">
        <v>8</v>
      </c>
      <c r="K134" s="133">
        <v>50</v>
      </c>
      <c r="L134" s="133">
        <v>2.2999999999999998</v>
      </c>
      <c r="M134" s="163">
        <v>90.2</v>
      </c>
      <c r="N134" s="38">
        <f>IF(CNC!C$14&gt;=L134,A134)</f>
        <v>133</v>
      </c>
      <c r="O134" s="25" t="b">
        <f>IF(CNC!C$15=I134,A134)</f>
        <v>0</v>
      </c>
      <c r="P134" s="25" t="b">
        <f>IF(CNC!C$16&lt;=J134,A134)</f>
        <v>0</v>
      </c>
      <c r="Q134" s="25">
        <f>IF(D134=CNC!AR$10,A134)</f>
        <v>133</v>
      </c>
      <c r="R134" s="25" t="b">
        <f t="shared" si="11"/>
        <v>0</v>
      </c>
    </row>
    <row r="135" spans="1:18" ht="17" customHeight="1">
      <c r="A135" s="4">
        <v>134</v>
      </c>
      <c r="B135" s="162">
        <v>5</v>
      </c>
      <c r="C135" s="162">
        <v>2</v>
      </c>
      <c r="D135" s="162">
        <v>2</v>
      </c>
      <c r="E135" s="133" t="s">
        <v>2315</v>
      </c>
      <c r="F135" s="133">
        <v>4</v>
      </c>
      <c r="G135" s="133">
        <v>1.9</v>
      </c>
      <c r="H135" s="133">
        <v>4</v>
      </c>
      <c r="I135" s="164">
        <v>48</v>
      </c>
      <c r="J135" s="133">
        <v>8</v>
      </c>
      <c r="K135" s="133">
        <v>50</v>
      </c>
      <c r="L135" s="133">
        <v>2.2999999999999998</v>
      </c>
      <c r="M135" s="163">
        <v>90.2</v>
      </c>
      <c r="N135" s="38">
        <f>IF(CNC!C$14&gt;=L135,A135)</f>
        <v>134</v>
      </c>
      <c r="O135" s="25" t="b">
        <f>IF(CNC!C$15=I135,A135)</f>
        <v>0</v>
      </c>
      <c r="P135" s="25" t="b">
        <f>IF(CNC!C$16&lt;=J135,A135)</f>
        <v>0</v>
      </c>
      <c r="Q135" s="25" t="b">
        <f>IF(D135=CNC!AR$10,A135)</f>
        <v>0</v>
      </c>
      <c r="R135" s="25" t="b">
        <f t="shared" si="11"/>
        <v>0</v>
      </c>
    </row>
    <row r="136" spans="1:18" ht="17" customHeight="1">
      <c r="A136" s="4">
        <v>135</v>
      </c>
      <c r="B136" s="162">
        <v>5</v>
      </c>
      <c r="C136" s="162">
        <v>2</v>
      </c>
      <c r="D136" s="162">
        <v>2</v>
      </c>
      <c r="E136" s="133" t="s">
        <v>2315</v>
      </c>
      <c r="F136" s="133">
        <v>4</v>
      </c>
      <c r="G136" s="133">
        <v>1.9</v>
      </c>
      <c r="H136" s="133">
        <v>4</v>
      </c>
      <c r="I136" s="164">
        <v>56</v>
      </c>
      <c r="J136" s="133">
        <v>8</v>
      </c>
      <c r="K136" s="133">
        <v>50</v>
      </c>
      <c r="L136" s="133">
        <v>2.2999999999999998</v>
      </c>
      <c r="M136" s="163">
        <v>90.2</v>
      </c>
      <c r="N136" s="38">
        <f>IF(CNC!C$14&gt;=L136,A136)</f>
        <v>135</v>
      </c>
      <c r="O136" s="25" t="b">
        <f>IF(CNC!C$15=I136,A136)</f>
        <v>0</v>
      </c>
      <c r="P136" s="25" t="b">
        <f>IF(CNC!C$16&lt;=J136,A136)</f>
        <v>0</v>
      </c>
      <c r="Q136" s="25" t="b">
        <f>IF(D136=CNC!AR$10,A136)</f>
        <v>0</v>
      </c>
      <c r="R136" s="25" t="b">
        <f t="shared" si="11"/>
        <v>0</v>
      </c>
    </row>
    <row r="137" spans="1:18" ht="17" customHeight="1">
      <c r="A137" s="4">
        <v>136</v>
      </c>
      <c r="B137" s="162">
        <v>5</v>
      </c>
      <c r="C137" s="162">
        <v>2</v>
      </c>
      <c r="D137" s="162">
        <v>1</v>
      </c>
      <c r="E137" s="133" t="s">
        <v>2314</v>
      </c>
      <c r="F137" s="133">
        <v>4</v>
      </c>
      <c r="G137" s="133">
        <v>1.9</v>
      </c>
      <c r="H137" s="133">
        <v>4</v>
      </c>
      <c r="I137" s="164">
        <v>0.45</v>
      </c>
      <c r="J137" s="133">
        <v>5.5</v>
      </c>
      <c r="K137" s="133">
        <v>50</v>
      </c>
      <c r="L137" s="133">
        <v>2.2999999999999998</v>
      </c>
      <c r="M137" s="163">
        <v>82</v>
      </c>
      <c r="N137" s="38">
        <f>IF(CNC!C$14&gt;=L137,A137)</f>
        <v>136</v>
      </c>
      <c r="O137" s="25" t="b">
        <f>IF(CNC!C$15=I137,A137)</f>
        <v>0</v>
      </c>
      <c r="P137" s="25" t="b">
        <f>IF(CNC!C$16&lt;=J137,A137)</f>
        <v>0</v>
      </c>
      <c r="Q137" s="25">
        <f>IF(D137=CNC!AR$10,A137)</f>
        <v>136</v>
      </c>
      <c r="R137" s="25" t="b">
        <f t="shared" si="11"/>
        <v>0</v>
      </c>
    </row>
    <row r="138" spans="1:18" ht="17" customHeight="1">
      <c r="A138" s="4">
        <v>137</v>
      </c>
      <c r="B138" s="162">
        <v>5</v>
      </c>
      <c r="C138" s="162">
        <v>2</v>
      </c>
      <c r="D138" s="162">
        <v>1</v>
      </c>
      <c r="E138" s="133" t="s">
        <v>2314</v>
      </c>
      <c r="F138" s="133">
        <v>4</v>
      </c>
      <c r="G138" s="133">
        <v>1.9</v>
      </c>
      <c r="H138" s="133">
        <v>4</v>
      </c>
      <c r="I138" s="164">
        <v>0.5</v>
      </c>
      <c r="J138" s="133">
        <v>5.5</v>
      </c>
      <c r="K138" s="133">
        <v>50</v>
      </c>
      <c r="L138" s="133">
        <v>2.2999999999999998</v>
      </c>
      <c r="M138" s="163">
        <v>82</v>
      </c>
      <c r="N138" s="38">
        <f>IF(CNC!C$14&gt;=L138,A138)</f>
        <v>137</v>
      </c>
      <c r="O138" s="25" t="b">
        <f>IF(CNC!C$15=I138,A138)</f>
        <v>0</v>
      </c>
      <c r="P138" s="25" t="b">
        <f>IF(CNC!C$16&lt;=J138,A138)</f>
        <v>0</v>
      </c>
      <c r="Q138" s="25">
        <f>IF(D138=CNC!AR$10,A138)</f>
        <v>137</v>
      </c>
      <c r="R138" s="25" t="b">
        <f t="shared" si="11"/>
        <v>0</v>
      </c>
    </row>
    <row r="139" spans="1:18" ht="17" customHeight="1">
      <c r="A139" s="4">
        <v>138</v>
      </c>
      <c r="B139" s="162">
        <v>5</v>
      </c>
      <c r="C139" s="162">
        <v>2</v>
      </c>
      <c r="D139" s="162">
        <v>2</v>
      </c>
      <c r="E139" s="133" t="s">
        <v>2314</v>
      </c>
      <c r="F139" s="133">
        <v>4</v>
      </c>
      <c r="G139" s="133">
        <v>1.9</v>
      </c>
      <c r="H139" s="133">
        <v>4</v>
      </c>
      <c r="I139" s="164">
        <v>48</v>
      </c>
      <c r="J139" s="133">
        <v>5.5</v>
      </c>
      <c r="K139" s="133">
        <v>50</v>
      </c>
      <c r="L139" s="133">
        <v>2.2999999999999998</v>
      </c>
      <c r="M139" s="163">
        <v>82</v>
      </c>
      <c r="N139" s="38">
        <f>IF(CNC!C$14&gt;=L139,A139)</f>
        <v>138</v>
      </c>
      <c r="O139" s="25" t="b">
        <f>IF(CNC!C$15=I139,A139)</f>
        <v>0</v>
      </c>
      <c r="P139" s="25" t="b">
        <f>IF(CNC!C$16&lt;=J139,A139)</f>
        <v>0</v>
      </c>
      <c r="Q139" s="25" t="b">
        <f>IF(D139=CNC!AR$10,A139)</f>
        <v>0</v>
      </c>
      <c r="R139" s="25" t="b">
        <f t="shared" si="11"/>
        <v>0</v>
      </c>
    </row>
    <row r="140" spans="1:18" ht="17" customHeight="1">
      <c r="A140" s="4">
        <v>139</v>
      </c>
      <c r="B140" s="162">
        <v>5</v>
      </c>
      <c r="C140" s="162">
        <v>2</v>
      </c>
      <c r="D140" s="162">
        <v>2</v>
      </c>
      <c r="E140" s="133" t="s">
        <v>2314</v>
      </c>
      <c r="F140" s="133">
        <v>4</v>
      </c>
      <c r="G140" s="133">
        <v>1.9</v>
      </c>
      <c r="H140" s="133">
        <v>4</v>
      </c>
      <c r="I140" s="164">
        <v>56</v>
      </c>
      <c r="J140" s="133">
        <v>5.5</v>
      </c>
      <c r="K140" s="133">
        <v>50</v>
      </c>
      <c r="L140" s="133">
        <v>2.2999999999999998</v>
      </c>
      <c r="M140" s="163">
        <v>82</v>
      </c>
      <c r="N140" s="38">
        <f>IF(CNC!C$14&gt;=L140,A140)</f>
        <v>139</v>
      </c>
      <c r="O140" s="25" t="b">
        <f>IF(CNC!C$15=I140,A140)</f>
        <v>0</v>
      </c>
      <c r="P140" s="25" t="b">
        <f>IF(CNC!C$16&lt;=J140,A140)</f>
        <v>0</v>
      </c>
      <c r="Q140" s="25" t="b">
        <f>IF(D140=CNC!AR$10,A140)</f>
        <v>0</v>
      </c>
      <c r="R140" s="25" t="b">
        <f t="shared" si="11"/>
        <v>0</v>
      </c>
    </row>
    <row r="141" spans="1:18" ht="17" customHeight="1">
      <c r="A141" s="4">
        <v>140</v>
      </c>
      <c r="B141" s="162">
        <v>5</v>
      </c>
      <c r="C141" s="162">
        <v>2</v>
      </c>
      <c r="D141" s="162">
        <v>1</v>
      </c>
      <c r="E141" s="133" t="s">
        <v>2313</v>
      </c>
      <c r="F141" s="133">
        <v>4</v>
      </c>
      <c r="G141" s="133">
        <v>1.65</v>
      </c>
      <c r="H141" s="133">
        <v>4</v>
      </c>
      <c r="I141" s="164">
        <v>0.45</v>
      </c>
      <c r="J141" s="133">
        <v>7.1</v>
      </c>
      <c r="K141" s="133">
        <v>50</v>
      </c>
      <c r="L141" s="133">
        <v>1.984</v>
      </c>
      <c r="M141" s="163">
        <v>90.2</v>
      </c>
      <c r="N141" s="38">
        <f>IF(CNC!C$14&gt;=L141,A141)</f>
        <v>140</v>
      </c>
      <c r="O141" s="25" t="b">
        <f>IF(CNC!C$15=I141,A141)</f>
        <v>0</v>
      </c>
      <c r="P141" s="25" t="b">
        <f>IF(CNC!C$16&lt;=J141,A141)</f>
        <v>0</v>
      </c>
      <c r="Q141" s="25">
        <f>IF(D141=CNC!AR$10,A141)</f>
        <v>140</v>
      </c>
      <c r="R141" s="25" t="b">
        <f t="shared" si="11"/>
        <v>0</v>
      </c>
    </row>
    <row r="142" spans="1:18" ht="17" customHeight="1">
      <c r="A142" s="4">
        <v>141</v>
      </c>
      <c r="B142" s="162">
        <v>5</v>
      </c>
      <c r="C142" s="162">
        <v>2</v>
      </c>
      <c r="D142" s="162">
        <v>2</v>
      </c>
      <c r="E142" s="133" t="s">
        <v>2313</v>
      </c>
      <c r="F142" s="133">
        <v>4</v>
      </c>
      <c r="G142" s="133">
        <v>1.65</v>
      </c>
      <c r="H142" s="133">
        <v>4</v>
      </c>
      <c r="I142" s="164">
        <v>56</v>
      </c>
      <c r="J142" s="133">
        <v>7.1</v>
      </c>
      <c r="K142" s="133">
        <v>50</v>
      </c>
      <c r="L142" s="133">
        <v>1.984</v>
      </c>
      <c r="M142" s="163">
        <v>90.2</v>
      </c>
      <c r="N142" s="38">
        <f>IF(CNC!C$14&gt;=L142,A142)</f>
        <v>141</v>
      </c>
      <c r="O142" s="25" t="b">
        <f>IF(CNC!C$15=I142,A142)</f>
        <v>0</v>
      </c>
      <c r="P142" s="25" t="b">
        <f>IF(CNC!C$16&lt;=J142,A142)</f>
        <v>0</v>
      </c>
      <c r="Q142" s="25" t="b">
        <f>IF(D142=CNC!AR$10,A142)</f>
        <v>0</v>
      </c>
      <c r="R142" s="25" t="b">
        <f t="shared" si="11"/>
        <v>0</v>
      </c>
    </row>
    <row r="143" spans="1:18" ht="17" customHeight="1">
      <c r="A143" s="4">
        <v>142</v>
      </c>
      <c r="B143" s="162">
        <v>5</v>
      </c>
      <c r="C143" s="162">
        <v>2</v>
      </c>
      <c r="D143" s="162">
        <v>1</v>
      </c>
      <c r="E143" s="133" t="s">
        <v>2312</v>
      </c>
      <c r="F143" s="133">
        <v>4</v>
      </c>
      <c r="G143" s="133">
        <v>1.65</v>
      </c>
      <c r="H143" s="133">
        <v>4</v>
      </c>
      <c r="I143" s="164">
        <v>0.45</v>
      </c>
      <c r="J143" s="133">
        <v>5</v>
      </c>
      <c r="K143" s="133">
        <v>50</v>
      </c>
      <c r="L143" s="133">
        <v>1.984</v>
      </c>
      <c r="M143" s="163">
        <v>82</v>
      </c>
      <c r="N143" s="38">
        <f>IF(CNC!C$14&gt;=L143,A143)</f>
        <v>142</v>
      </c>
      <c r="O143" s="25" t="b">
        <f>IF(CNC!C$15=I143,A143)</f>
        <v>0</v>
      </c>
      <c r="P143" s="25" t="b">
        <f>IF(CNC!C$16&lt;=J143,A143)</f>
        <v>0</v>
      </c>
      <c r="Q143" s="25">
        <f>IF(D143=CNC!AR$10,A143)</f>
        <v>142</v>
      </c>
      <c r="R143" s="25" t="b">
        <f t="shared" si="11"/>
        <v>0</v>
      </c>
    </row>
    <row r="144" spans="1:18" ht="17" customHeight="1">
      <c r="A144" s="4">
        <v>143</v>
      </c>
      <c r="B144" s="162">
        <v>5</v>
      </c>
      <c r="C144" s="162">
        <v>2</v>
      </c>
      <c r="D144" s="162">
        <v>2</v>
      </c>
      <c r="E144" s="133" t="s">
        <v>2312</v>
      </c>
      <c r="F144" s="133">
        <v>4</v>
      </c>
      <c r="G144" s="133">
        <v>1.65</v>
      </c>
      <c r="H144" s="133">
        <v>4</v>
      </c>
      <c r="I144" s="164">
        <v>56</v>
      </c>
      <c r="J144" s="133">
        <v>5</v>
      </c>
      <c r="K144" s="133">
        <v>50</v>
      </c>
      <c r="L144" s="133">
        <v>1.984</v>
      </c>
      <c r="M144" s="163">
        <v>82</v>
      </c>
      <c r="N144" s="38">
        <f>IF(CNC!C$14&gt;=L144,A144)</f>
        <v>143</v>
      </c>
      <c r="O144" s="25" t="b">
        <f>IF(CNC!C$15=I144,A144)</f>
        <v>0</v>
      </c>
      <c r="P144" s="25" t="b">
        <f>IF(CNC!C$16&lt;=J144,A144)</f>
        <v>0</v>
      </c>
      <c r="Q144" s="25" t="b">
        <f>IF(D144=CNC!AR$10,A144)</f>
        <v>0</v>
      </c>
      <c r="R144" s="25" t="b">
        <f t="shared" si="11"/>
        <v>0</v>
      </c>
    </row>
    <row r="145" spans="1:18" ht="17" customHeight="1">
      <c r="A145" s="4">
        <v>144</v>
      </c>
      <c r="B145" s="162">
        <v>5</v>
      </c>
      <c r="C145" s="162">
        <v>2</v>
      </c>
      <c r="D145" s="162">
        <v>1</v>
      </c>
      <c r="E145" s="133" t="s">
        <v>2311</v>
      </c>
      <c r="F145" s="133">
        <v>4</v>
      </c>
      <c r="G145" s="133">
        <v>1.5</v>
      </c>
      <c r="H145" s="133">
        <v>4</v>
      </c>
      <c r="I145" s="164">
        <v>0.35</v>
      </c>
      <c r="J145" s="133">
        <v>6.4</v>
      </c>
      <c r="K145" s="133">
        <v>50</v>
      </c>
      <c r="L145" s="133">
        <v>1.8</v>
      </c>
      <c r="M145" s="163">
        <v>90.2</v>
      </c>
      <c r="N145" s="38">
        <f>IF(CNC!C$14&gt;=L145,A145)</f>
        <v>144</v>
      </c>
      <c r="O145" s="25" t="b">
        <f>IF(CNC!C$15=I145,A145)</f>
        <v>0</v>
      </c>
      <c r="P145" s="25" t="b">
        <f>IF(CNC!C$16&lt;=J145,A145)</f>
        <v>0</v>
      </c>
      <c r="Q145" s="25">
        <f>IF(D145=CNC!AR$10,A145)</f>
        <v>144</v>
      </c>
      <c r="R145" s="25" t="b">
        <f t="shared" si="11"/>
        <v>0</v>
      </c>
    </row>
    <row r="146" spans="1:18" ht="17" customHeight="1">
      <c r="A146" s="4">
        <v>145</v>
      </c>
      <c r="B146" s="162">
        <v>5</v>
      </c>
      <c r="C146" s="162">
        <v>2</v>
      </c>
      <c r="D146" s="162">
        <v>1</v>
      </c>
      <c r="E146" s="133" t="s">
        <v>2311</v>
      </c>
      <c r="F146" s="133">
        <v>4</v>
      </c>
      <c r="G146" s="133">
        <v>1.5</v>
      </c>
      <c r="H146" s="133">
        <v>4</v>
      </c>
      <c r="I146" s="164">
        <v>0.4</v>
      </c>
      <c r="J146" s="133">
        <v>6.4</v>
      </c>
      <c r="K146" s="133">
        <v>50</v>
      </c>
      <c r="L146" s="133">
        <v>1.8</v>
      </c>
      <c r="M146" s="163">
        <v>90.2</v>
      </c>
      <c r="N146" s="38">
        <f>IF(CNC!C$14&gt;=L146,A146)</f>
        <v>145</v>
      </c>
      <c r="O146" s="25" t="b">
        <f>IF(CNC!C$15=I146,A146)</f>
        <v>0</v>
      </c>
      <c r="P146" s="25" t="b">
        <f>IF(CNC!C$16&lt;=J146,A146)</f>
        <v>0</v>
      </c>
      <c r="Q146" s="25">
        <f>IF(D146=CNC!AR$10,A146)</f>
        <v>145</v>
      </c>
      <c r="R146" s="25" t="b">
        <f t="shared" si="11"/>
        <v>0</v>
      </c>
    </row>
    <row r="147" spans="1:18" ht="17" customHeight="1">
      <c r="A147" s="4">
        <v>146</v>
      </c>
      <c r="B147" s="162">
        <v>5</v>
      </c>
      <c r="C147" s="162">
        <v>2</v>
      </c>
      <c r="D147" s="162">
        <v>2</v>
      </c>
      <c r="E147" s="133" t="s">
        <v>2311</v>
      </c>
      <c r="F147" s="133">
        <v>4</v>
      </c>
      <c r="G147" s="133">
        <v>1.5</v>
      </c>
      <c r="H147" s="133">
        <v>4</v>
      </c>
      <c r="I147" s="164">
        <v>64</v>
      </c>
      <c r="J147" s="133">
        <v>6.4</v>
      </c>
      <c r="K147" s="133">
        <v>50</v>
      </c>
      <c r="L147" s="133">
        <v>1.8</v>
      </c>
      <c r="M147" s="163">
        <v>90.2</v>
      </c>
      <c r="N147" s="38">
        <f>IF(CNC!C$14&gt;=L147,A147)</f>
        <v>146</v>
      </c>
      <c r="O147" s="25" t="b">
        <f>IF(CNC!C$15=I147,A147)</f>
        <v>0</v>
      </c>
      <c r="P147" s="25" t="b">
        <f>IF(CNC!C$16&lt;=J147,A147)</f>
        <v>0</v>
      </c>
      <c r="Q147" s="25" t="b">
        <f>IF(D147=CNC!AR$10,A147)</f>
        <v>0</v>
      </c>
      <c r="R147" s="25" t="b">
        <f t="shared" si="11"/>
        <v>0</v>
      </c>
    </row>
    <row r="148" spans="1:18" ht="17" customHeight="1">
      <c r="A148" s="4">
        <v>147</v>
      </c>
      <c r="B148" s="162">
        <v>5</v>
      </c>
      <c r="C148" s="162">
        <v>2</v>
      </c>
      <c r="D148" s="162">
        <v>1</v>
      </c>
      <c r="E148" s="133" t="s">
        <v>2310</v>
      </c>
      <c r="F148" s="133">
        <v>4</v>
      </c>
      <c r="G148" s="133">
        <v>1.5</v>
      </c>
      <c r="H148" s="133">
        <v>4</v>
      </c>
      <c r="I148" s="164">
        <v>0.35</v>
      </c>
      <c r="J148" s="133">
        <v>4.4000000000000004</v>
      </c>
      <c r="K148" s="133">
        <v>50</v>
      </c>
      <c r="L148" s="133">
        <v>1.8</v>
      </c>
      <c r="M148" s="163">
        <v>82</v>
      </c>
      <c r="N148" s="38">
        <f>IF(CNC!C$14&gt;=L148,A148)</f>
        <v>147</v>
      </c>
      <c r="O148" s="25" t="b">
        <f>IF(CNC!C$15=I148,A148)</f>
        <v>0</v>
      </c>
      <c r="P148" s="25" t="b">
        <f>IF(CNC!C$16&lt;=J148,A148)</f>
        <v>0</v>
      </c>
      <c r="Q148" s="25">
        <f>IF(D148=CNC!AR$10,A148)</f>
        <v>147</v>
      </c>
      <c r="R148" s="25" t="b">
        <f t="shared" si="11"/>
        <v>0</v>
      </c>
    </row>
    <row r="149" spans="1:18" ht="17" customHeight="1">
      <c r="A149" s="4">
        <v>148</v>
      </c>
      <c r="B149" s="162">
        <v>5</v>
      </c>
      <c r="C149" s="162">
        <v>2</v>
      </c>
      <c r="D149" s="162">
        <v>1</v>
      </c>
      <c r="E149" s="133" t="s">
        <v>2310</v>
      </c>
      <c r="F149" s="133">
        <v>4</v>
      </c>
      <c r="G149" s="133">
        <v>1.5</v>
      </c>
      <c r="H149" s="133">
        <v>4</v>
      </c>
      <c r="I149" s="164">
        <v>0.4</v>
      </c>
      <c r="J149" s="133">
        <v>4.4000000000000004</v>
      </c>
      <c r="K149" s="133">
        <v>50</v>
      </c>
      <c r="L149" s="133">
        <v>1.8</v>
      </c>
      <c r="M149" s="163">
        <v>82</v>
      </c>
      <c r="N149" s="38">
        <f>IF(CNC!C$14&gt;=L149,A149)</f>
        <v>148</v>
      </c>
      <c r="O149" s="25" t="b">
        <f>IF(CNC!C$15=I149,A149)</f>
        <v>0</v>
      </c>
      <c r="P149" s="25" t="b">
        <f>IF(CNC!C$16&lt;=J149,A149)</f>
        <v>0</v>
      </c>
      <c r="Q149" s="25">
        <f>IF(D149=CNC!AR$10,A149)</f>
        <v>148</v>
      </c>
      <c r="R149" s="25" t="b">
        <f t="shared" si="11"/>
        <v>0</v>
      </c>
    </row>
    <row r="150" spans="1:18" ht="17" customHeight="1">
      <c r="A150" s="4">
        <v>149</v>
      </c>
      <c r="B150" s="162">
        <v>5</v>
      </c>
      <c r="C150" s="162">
        <v>2</v>
      </c>
      <c r="D150" s="162">
        <v>2</v>
      </c>
      <c r="E150" s="133" t="s">
        <v>2310</v>
      </c>
      <c r="F150" s="133">
        <v>4</v>
      </c>
      <c r="G150" s="133">
        <v>1.5</v>
      </c>
      <c r="H150" s="133">
        <v>4</v>
      </c>
      <c r="I150" s="164">
        <v>64</v>
      </c>
      <c r="J150" s="133">
        <v>4.4000000000000004</v>
      </c>
      <c r="K150" s="133">
        <v>50</v>
      </c>
      <c r="L150" s="133">
        <v>1.8</v>
      </c>
      <c r="M150" s="163">
        <v>82</v>
      </c>
      <c r="N150" s="38">
        <f>IF(CNC!C$14&gt;=L150,A150)</f>
        <v>149</v>
      </c>
      <c r="O150" s="25" t="b">
        <f>IF(CNC!C$15=I150,A150)</f>
        <v>0</v>
      </c>
      <c r="P150" s="25" t="b">
        <f>IF(CNC!C$16&lt;=J150,A150)</f>
        <v>0</v>
      </c>
      <c r="Q150" s="25" t="b">
        <f>IF(D150=CNC!AR$10,A150)</f>
        <v>0</v>
      </c>
      <c r="R150" s="25" t="b">
        <f t="shared" si="11"/>
        <v>0</v>
      </c>
    </row>
    <row r="151" spans="1:18" ht="17" customHeight="1">
      <c r="A151" s="4">
        <v>150</v>
      </c>
      <c r="B151" s="162">
        <v>5</v>
      </c>
      <c r="C151" s="162">
        <v>2</v>
      </c>
      <c r="D151" s="162">
        <v>1</v>
      </c>
      <c r="E151" s="133" t="s">
        <v>2309</v>
      </c>
      <c r="F151" s="133">
        <v>3</v>
      </c>
      <c r="G151" s="133">
        <v>1.55</v>
      </c>
      <c r="H151" s="133">
        <v>4</v>
      </c>
      <c r="I151" s="164">
        <v>0.4</v>
      </c>
      <c r="J151" s="133">
        <v>6.2</v>
      </c>
      <c r="K151" s="133">
        <v>39</v>
      </c>
      <c r="L151" s="133">
        <v>1.8</v>
      </c>
      <c r="M151" s="163">
        <v>90.2</v>
      </c>
      <c r="N151" s="38">
        <f>IF(CNC!C$14&gt;=L151,A151)</f>
        <v>150</v>
      </c>
      <c r="O151" s="25" t="b">
        <f>IF(CNC!C$15=I151,A151)</f>
        <v>0</v>
      </c>
      <c r="P151" s="25" t="b">
        <f>IF(CNC!C$16&lt;=J151,A151)</f>
        <v>0</v>
      </c>
      <c r="Q151" s="25">
        <f>IF(D151=CNC!AR$10,A151)</f>
        <v>150</v>
      </c>
      <c r="R151" s="25" t="b">
        <f t="shared" si="11"/>
        <v>0</v>
      </c>
    </row>
    <row r="152" spans="1:18" ht="17" customHeight="1">
      <c r="A152" s="4">
        <v>151</v>
      </c>
      <c r="B152" s="162">
        <v>5</v>
      </c>
      <c r="C152" s="162">
        <v>2</v>
      </c>
      <c r="D152" s="162">
        <v>2</v>
      </c>
      <c r="E152" s="133" t="s">
        <v>2309</v>
      </c>
      <c r="F152" s="133">
        <v>3</v>
      </c>
      <c r="G152" s="133">
        <v>1.55</v>
      </c>
      <c r="H152" s="133">
        <v>4</v>
      </c>
      <c r="I152" s="164">
        <v>64</v>
      </c>
      <c r="J152" s="133">
        <v>6.2</v>
      </c>
      <c r="K152" s="133">
        <v>39</v>
      </c>
      <c r="L152" s="133">
        <v>1.8</v>
      </c>
      <c r="M152" s="163">
        <v>90.2</v>
      </c>
      <c r="N152" s="38">
        <f>IF(CNC!C$14&gt;=L152,A152)</f>
        <v>151</v>
      </c>
      <c r="O152" s="25" t="b">
        <f>IF(CNC!C$15=I152,A152)</f>
        <v>0</v>
      </c>
      <c r="P152" s="25" t="b">
        <f>IF(CNC!C$16&lt;=J152,A152)</f>
        <v>0</v>
      </c>
      <c r="Q152" s="25" t="b">
        <f>IF(D152=CNC!AR$10,A152)</f>
        <v>0</v>
      </c>
      <c r="R152" s="25" t="b">
        <f t="shared" si="11"/>
        <v>0</v>
      </c>
    </row>
    <row r="153" spans="1:18" ht="17" customHeight="1">
      <c r="A153" s="4">
        <v>152</v>
      </c>
      <c r="B153" s="162">
        <v>5</v>
      </c>
      <c r="C153" s="162">
        <v>2</v>
      </c>
      <c r="D153" s="162">
        <v>1</v>
      </c>
      <c r="E153" s="133" t="s">
        <v>2293</v>
      </c>
      <c r="F153" s="133">
        <v>3</v>
      </c>
      <c r="G153" s="133">
        <v>1.55</v>
      </c>
      <c r="H153" s="133">
        <v>4</v>
      </c>
      <c r="I153" s="164">
        <v>0.4</v>
      </c>
      <c r="J153" s="133">
        <v>6.2</v>
      </c>
      <c r="K153" s="133">
        <v>39</v>
      </c>
      <c r="L153" s="133">
        <v>1.8</v>
      </c>
      <c r="M153" s="163">
        <v>108.2</v>
      </c>
      <c r="N153" s="38">
        <f>IF(CNC!C$14&gt;=L153,A153)</f>
        <v>152</v>
      </c>
      <c r="O153" s="25" t="b">
        <f>IF(CNC!C$15=I153,A153)</f>
        <v>0</v>
      </c>
      <c r="P153" s="25" t="b">
        <f>IF(CNC!C$16&lt;=J153,A153)</f>
        <v>0</v>
      </c>
      <c r="Q153" s="25">
        <f>IF(D153=CNC!AR$10,A153)</f>
        <v>152</v>
      </c>
      <c r="R153" s="25" t="b">
        <f t="shared" si="11"/>
        <v>0</v>
      </c>
    </row>
    <row r="154" spans="1:18" ht="17" customHeight="1">
      <c r="A154" s="4">
        <v>153</v>
      </c>
      <c r="B154" s="162">
        <v>5</v>
      </c>
      <c r="C154" s="162">
        <v>2</v>
      </c>
      <c r="D154" s="162">
        <v>1</v>
      </c>
      <c r="E154" s="133" t="s">
        <v>2308</v>
      </c>
      <c r="F154" s="133">
        <v>3</v>
      </c>
      <c r="G154" s="133">
        <v>1.55</v>
      </c>
      <c r="H154" s="133">
        <v>4</v>
      </c>
      <c r="I154" s="164">
        <v>0.4</v>
      </c>
      <c r="J154" s="133">
        <v>4.5999999999999996</v>
      </c>
      <c r="K154" s="133">
        <v>39</v>
      </c>
      <c r="L154" s="133">
        <v>1.8</v>
      </c>
      <c r="M154" s="163">
        <v>82</v>
      </c>
      <c r="N154" s="38">
        <f>IF(CNC!C$14&gt;=L154,A154)</f>
        <v>153</v>
      </c>
      <c r="O154" s="25" t="b">
        <f>IF(CNC!C$15=I154,A154)</f>
        <v>0</v>
      </c>
      <c r="P154" s="25" t="b">
        <f>IF(CNC!C$16&lt;=J154,A154)</f>
        <v>0</v>
      </c>
      <c r="Q154" s="25">
        <f>IF(D154=CNC!AR$10,A154)</f>
        <v>153</v>
      </c>
      <c r="R154" s="25" t="b">
        <f t="shared" si="11"/>
        <v>0</v>
      </c>
    </row>
    <row r="155" spans="1:18" ht="17" customHeight="1">
      <c r="A155" s="4">
        <v>154</v>
      </c>
      <c r="B155" s="162">
        <v>5</v>
      </c>
      <c r="C155" s="162">
        <v>2</v>
      </c>
      <c r="D155" s="162">
        <v>2</v>
      </c>
      <c r="E155" s="133" t="s">
        <v>2308</v>
      </c>
      <c r="F155" s="133">
        <v>3</v>
      </c>
      <c r="G155" s="133">
        <v>1.55</v>
      </c>
      <c r="H155" s="133">
        <v>4</v>
      </c>
      <c r="I155" s="164">
        <v>64</v>
      </c>
      <c r="J155" s="133">
        <v>4.5999999999999996</v>
      </c>
      <c r="K155" s="133">
        <v>39</v>
      </c>
      <c r="L155" s="133">
        <v>1.8</v>
      </c>
      <c r="M155" s="163">
        <v>82</v>
      </c>
      <c r="N155" s="38">
        <f>IF(CNC!C$14&gt;=L155,A155)</f>
        <v>154</v>
      </c>
      <c r="O155" s="25" t="b">
        <f>IF(CNC!C$15=I155,A155)</f>
        <v>0</v>
      </c>
      <c r="P155" s="25" t="b">
        <f>IF(CNC!C$16&lt;=J155,A155)</f>
        <v>0</v>
      </c>
      <c r="Q155" s="25" t="b">
        <f>IF(D155=CNC!AR$10,A155)</f>
        <v>0</v>
      </c>
      <c r="R155" s="25" t="b">
        <f t="shared" si="11"/>
        <v>0</v>
      </c>
    </row>
    <row r="156" spans="1:18" ht="17" customHeight="1">
      <c r="A156" s="4">
        <v>155</v>
      </c>
      <c r="B156" s="162">
        <v>5</v>
      </c>
      <c r="C156" s="162">
        <v>2</v>
      </c>
      <c r="D156" s="162">
        <v>1</v>
      </c>
      <c r="E156" s="133" t="s">
        <v>2292</v>
      </c>
      <c r="F156" s="133">
        <v>3</v>
      </c>
      <c r="G156" s="133">
        <v>1.55</v>
      </c>
      <c r="H156" s="133">
        <v>4</v>
      </c>
      <c r="I156" s="164">
        <v>0.4</v>
      </c>
      <c r="J156" s="133">
        <v>4.7</v>
      </c>
      <c r="K156" s="133">
        <v>39</v>
      </c>
      <c r="L156" s="133">
        <v>1.8</v>
      </c>
      <c r="M156" s="163">
        <v>98.4</v>
      </c>
      <c r="N156" s="38">
        <f>IF(CNC!C$14&gt;=L156,A156)</f>
        <v>155</v>
      </c>
      <c r="O156" s="25" t="b">
        <f>IF(CNC!C$15=I156,A156)</f>
        <v>0</v>
      </c>
      <c r="P156" s="25" t="b">
        <f>IF(CNC!C$16&lt;=J156,A156)</f>
        <v>0</v>
      </c>
      <c r="Q156" s="25">
        <f>IF(D156=CNC!AR$10,A156)</f>
        <v>155</v>
      </c>
      <c r="R156" s="25" t="b">
        <f t="shared" si="11"/>
        <v>0</v>
      </c>
    </row>
    <row r="157" spans="1:18" ht="17" customHeight="1">
      <c r="A157" s="4">
        <v>156</v>
      </c>
      <c r="B157" s="162">
        <v>5</v>
      </c>
      <c r="C157" s="162">
        <v>2</v>
      </c>
      <c r="D157" s="162">
        <v>1</v>
      </c>
      <c r="E157" s="133" t="s">
        <v>2307</v>
      </c>
      <c r="F157" s="133">
        <v>3</v>
      </c>
      <c r="G157" s="133">
        <v>1.4</v>
      </c>
      <c r="H157" s="133">
        <v>4</v>
      </c>
      <c r="I157" s="164">
        <v>0.35</v>
      </c>
      <c r="J157" s="133">
        <v>5.6</v>
      </c>
      <c r="K157" s="133">
        <v>39</v>
      </c>
      <c r="L157" s="133">
        <v>1.6</v>
      </c>
      <c r="M157" s="163">
        <v>90.2</v>
      </c>
      <c r="N157" s="38">
        <f>IF(CNC!C$14&gt;=L157,A157)</f>
        <v>156</v>
      </c>
      <c r="O157" s="25" t="b">
        <f>IF(CNC!C$15=I157,A157)</f>
        <v>0</v>
      </c>
      <c r="P157" s="25" t="b">
        <f>IF(CNC!C$16&lt;=J157,A157)</f>
        <v>0</v>
      </c>
      <c r="Q157" s="25">
        <f>IF(D157=CNC!AR$10,A157)</f>
        <v>156</v>
      </c>
      <c r="R157" s="25" t="b">
        <f t="shared" si="11"/>
        <v>0</v>
      </c>
    </row>
    <row r="158" spans="1:18" ht="17" customHeight="1">
      <c r="A158" s="4">
        <v>157</v>
      </c>
      <c r="B158" s="162">
        <v>5</v>
      </c>
      <c r="C158" s="162">
        <v>2</v>
      </c>
      <c r="D158" s="162">
        <v>1</v>
      </c>
      <c r="E158" s="133" t="s">
        <v>2307</v>
      </c>
      <c r="F158" s="133">
        <v>3</v>
      </c>
      <c r="G158" s="133">
        <v>1.4</v>
      </c>
      <c r="H158" s="133">
        <v>4</v>
      </c>
      <c r="I158" s="164">
        <v>0.4</v>
      </c>
      <c r="J158" s="133">
        <v>5.6</v>
      </c>
      <c r="K158" s="133">
        <v>39</v>
      </c>
      <c r="L158" s="133">
        <v>1.6</v>
      </c>
      <c r="M158" s="163">
        <v>90.2</v>
      </c>
      <c r="N158" s="38">
        <f>IF(CNC!C$14&gt;=L158,A158)</f>
        <v>157</v>
      </c>
      <c r="O158" s="25" t="b">
        <f>IF(CNC!C$15=I158,A158)</f>
        <v>0</v>
      </c>
      <c r="P158" s="25" t="b">
        <f>IF(CNC!C$16&lt;=J158,A158)</f>
        <v>0</v>
      </c>
      <c r="Q158" s="25">
        <f>IF(D158=CNC!AR$10,A158)</f>
        <v>157</v>
      </c>
      <c r="R158" s="25" t="b">
        <f t="shared" si="11"/>
        <v>0</v>
      </c>
    </row>
    <row r="159" spans="1:18" ht="17" customHeight="1">
      <c r="A159" s="4">
        <v>158</v>
      </c>
      <c r="B159" s="162">
        <v>5</v>
      </c>
      <c r="C159" s="162">
        <v>2</v>
      </c>
      <c r="D159" s="162">
        <v>2</v>
      </c>
      <c r="E159" s="133" t="s">
        <v>2307</v>
      </c>
      <c r="F159" s="133">
        <v>3</v>
      </c>
      <c r="G159" s="133">
        <v>1.4</v>
      </c>
      <c r="H159" s="133">
        <v>4</v>
      </c>
      <c r="I159" s="164">
        <v>64</v>
      </c>
      <c r="J159" s="133">
        <v>5.6</v>
      </c>
      <c r="K159" s="133">
        <v>39</v>
      </c>
      <c r="L159" s="133">
        <v>1.6</v>
      </c>
      <c r="M159" s="163">
        <v>90.2</v>
      </c>
      <c r="N159" s="38">
        <f>IF(CNC!C$14&gt;=L159,A159)</f>
        <v>158</v>
      </c>
      <c r="O159" s="25" t="b">
        <f>IF(CNC!C$15=I159,A159)</f>
        <v>0</v>
      </c>
      <c r="P159" s="25" t="b">
        <f>IF(CNC!C$16&lt;=J159,A159)</f>
        <v>0</v>
      </c>
      <c r="Q159" s="25" t="b">
        <f>IF(D159=CNC!AR$10,A159)</f>
        <v>0</v>
      </c>
      <c r="R159" s="25" t="b">
        <f t="shared" si="11"/>
        <v>0</v>
      </c>
    </row>
    <row r="160" spans="1:18" ht="17" customHeight="1">
      <c r="A160" s="4">
        <v>159</v>
      </c>
      <c r="B160" s="162">
        <v>5</v>
      </c>
      <c r="C160" s="162">
        <v>2</v>
      </c>
      <c r="D160" s="162">
        <v>2</v>
      </c>
      <c r="E160" s="133" t="s">
        <v>2307</v>
      </c>
      <c r="F160" s="133">
        <v>3</v>
      </c>
      <c r="G160" s="133">
        <v>1.4</v>
      </c>
      <c r="H160" s="133">
        <v>4</v>
      </c>
      <c r="I160" s="164">
        <v>72</v>
      </c>
      <c r="J160" s="133">
        <v>5.6</v>
      </c>
      <c r="K160" s="133">
        <v>39</v>
      </c>
      <c r="L160" s="133">
        <v>1.6</v>
      </c>
      <c r="M160" s="163">
        <v>90.2</v>
      </c>
      <c r="N160" s="38">
        <f>IF(CNC!C$14&gt;=L160,A160)</f>
        <v>159</v>
      </c>
      <c r="O160" s="25" t="b">
        <f>IF(CNC!C$15=I160,A160)</f>
        <v>0</v>
      </c>
      <c r="P160" s="25" t="b">
        <f>IF(CNC!C$16&lt;=J160,A160)</f>
        <v>0</v>
      </c>
      <c r="Q160" s="25" t="b">
        <f>IF(D160=CNC!AR$10,A160)</f>
        <v>0</v>
      </c>
      <c r="R160" s="25" t="b">
        <f t="shared" si="11"/>
        <v>0</v>
      </c>
    </row>
    <row r="161" spans="1:18" ht="17" customHeight="1">
      <c r="A161" s="4">
        <v>160</v>
      </c>
      <c r="B161" s="162">
        <v>5</v>
      </c>
      <c r="C161" s="162">
        <v>2</v>
      </c>
      <c r="D161" s="162">
        <v>1</v>
      </c>
      <c r="E161" s="133" t="s">
        <v>2291</v>
      </c>
      <c r="F161" s="133">
        <v>3</v>
      </c>
      <c r="G161" s="133">
        <v>1.4</v>
      </c>
      <c r="H161" s="133">
        <v>4</v>
      </c>
      <c r="I161" s="164">
        <v>0.35</v>
      </c>
      <c r="J161" s="133">
        <v>5.6</v>
      </c>
      <c r="K161" s="133">
        <v>39</v>
      </c>
      <c r="L161" s="133">
        <v>1.6</v>
      </c>
      <c r="M161" s="163">
        <v>108.2</v>
      </c>
      <c r="N161" s="38">
        <f>IF(CNC!C$14&gt;=L161,A161)</f>
        <v>160</v>
      </c>
      <c r="O161" s="25" t="b">
        <f>IF(CNC!C$15=I161,A161)</f>
        <v>0</v>
      </c>
      <c r="P161" s="25" t="b">
        <f>IF(CNC!C$16&lt;=J161,A161)</f>
        <v>0</v>
      </c>
      <c r="Q161" s="25">
        <f>IF(D161=CNC!AR$10,A161)</f>
        <v>160</v>
      </c>
      <c r="R161" s="25" t="b">
        <f t="shared" si="11"/>
        <v>0</v>
      </c>
    </row>
    <row r="162" spans="1:18" ht="17" customHeight="1">
      <c r="A162" s="4">
        <v>161</v>
      </c>
      <c r="B162" s="162">
        <v>5</v>
      </c>
      <c r="C162" s="162">
        <v>2</v>
      </c>
      <c r="D162" s="162">
        <v>1</v>
      </c>
      <c r="E162" s="133" t="s">
        <v>2306</v>
      </c>
      <c r="F162" s="133">
        <v>3</v>
      </c>
      <c r="G162" s="133">
        <v>1.4</v>
      </c>
      <c r="H162" s="133">
        <v>4</v>
      </c>
      <c r="I162" s="164">
        <v>0.35</v>
      </c>
      <c r="J162" s="133">
        <v>4.2</v>
      </c>
      <c r="K162" s="133">
        <v>39</v>
      </c>
      <c r="L162" s="133">
        <v>1.6</v>
      </c>
      <c r="M162" s="163">
        <v>82</v>
      </c>
      <c r="N162" s="38">
        <f>IF(CNC!C$14&gt;=L162,A162)</f>
        <v>161</v>
      </c>
      <c r="O162" s="25" t="b">
        <f>IF(CNC!C$15=I162,A162)</f>
        <v>0</v>
      </c>
      <c r="P162" s="25" t="b">
        <f>IF(CNC!C$16&lt;=J162,A162)</f>
        <v>0</v>
      </c>
      <c r="Q162" s="25">
        <f>IF(D162=CNC!AR$10,A162)</f>
        <v>161</v>
      </c>
      <c r="R162" s="25" t="b">
        <f t="shared" si="11"/>
        <v>0</v>
      </c>
    </row>
    <row r="163" spans="1:18" ht="17" customHeight="1">
      <c r="A163" s="4">
        <v>162</v>
      </c>
      <c r="B163" s="162">
        <v>5</v>
      </c>
      <c r="C163" s="162">
        <v>2</v>
      </c>
      <c r="D163" s="162">
        <v>1</v>
      </c>
      <c r="E163" s="133" t="s">
        <v>2306</v>
      </c>
      <c r="F163" s="133">
        <v>3</v>
      </c>
      <c r="G163" s="133">
        <v>1.4</v>
      </c>
      <c r="H163" s="133">
        <v>4</v>
      </c>
      <c r="I163" s="164">
        <v>0.4</v>
      </c>
      <c r="J163" s="133">
        <v>4.2</v>
      </c>
      <c r="K163" s="133">
        <v>39</v>
      </c>
      <c r="L163" s="133">
        <v>1.6</v>
      </c>
      <c r="M163" s="163">
        <v>82</v>
      </c>
      <c r="N163" s="38">
        <f>IF(CNC!C$14&gt;=L163,A163)</f>
        <v>162</v>
      </c>
      <c r="O163" s="25" t="b">
        <f>IF(CNC!C$15=I163,A163)</f>
        <v>0</v>
      </c>
      <c r="P163" s="25" t="b">
        <f>IF(CNC!C$16&lt;=J163,A163)</f>
        <v>0</v>
      </c>
      <c r="Q163" s="25">
        <f>IF(D163=CNC!AR$10,A163)</f>
        <v>162</v>
      </c>
      <c r="R163" s="25" t="b">
        <f t="shared" si="11"/>
        <v>0</v>
      </c>
    </row>
    <row r="164" spans="1:18" ht="17" customHeight="1">
      <c r="A164" s="4">
        <v>163</v>
      </c>
      <c r="B164" s="162">
        <v>5</v>
      </c>
      <c r="C164" s="162">
        <v>2</v>
      </c>
      <c r="D164" s="162">
        <v>2</v>
      </c>
      <c r="E164" s="133" t="s">
        <v>2306</v>
      </c>
      <c r="F164" s="133">
        <v>3</v>
      </c>
      <c r="G164" s="133">
        <v>1.4</v>
      </c>
      <c r="H164" s="133">
        <v>4</v>
      </c>
      <c r="I164" s="164">
        <v>64</v>
      </c>
      <c r="J164" s="133">
        <v>4.2</v>
      </c>
      <c r="K164" s="133">
        <v>39</v>
      </c>
      <c r="L164" s="133">
        <v>1.6</v>
      </c>
      <c r="M164" s="163">
        <v>82</v>
      </c>
      <c r="N164" s="38">
        <f>IF(CNC!C$14&gt;=L164,A164)</f>
        <v>163</v>
      </c>
      <c r="O164" s="25" t="b">
        <f>IF(CNC!C$15=I164,A164)</f>
        <v>0</v>
      </c>
      <c r="P164" s="25" t="b">
        <f>IF(CNC!C$16&lt;=J164,A164)</f>
        <v>0</v>
      </c>
      <c r="Q164" s="25" t="b">
        <f>IF(D164=CNC!AR$10,A164)</f>
        <v>0</v>
      </c>
      <c r="R164" s="25" t="b">
        <f t="shared" si="11"/>
        <v>0</v>
      </c>
    </row>
    <row r="165" spans="1:18" ht="17" customHeight="1">
      <c r="A165" s="4">
        <v>164</v>
      </c>
      <c r="B165" s="162">
        <v>5</v>
      </c>
      <c r="C165" s="162">
        <v>2</v>
      </c>
      <c r="D165" s="162">
        <v>2</v>
      </c>
      <c r="E165" s="133" t="s">
        <v>2306</v>
      </c>
      <c r="F165" s="133">
        <v>3</v>
      </c>
      <c r="G165" s="133">
        <v>1.4</v>
      </c>
      <c r="H165" s="133">
        <v>4</v>
      </c>
      <c r="I165" s="164">
        <v>72</v>
      </c>
      <c r="J165" s="133">
        <v>4.2</v>
      </c>
      <c r="K165" s="133">
        <v>39</v>
      </c>
      <c r="L165" s="133">
        <v>1.6</v>
      </c>
      <c r="M165" s="163">
        <v>82</v>
      </c>
      <c r="N165" s="38">
        <f>IF(CNC!C$14&gt;=L165,A165)</f>
        <v>164</v>
      </c>
      <c r="O165" s="25" t="b">
        <f>IF(CNC!C$15=I165,A165)</f>
        <v>0</v>
      </c>
      <c r="P165" s="25" t="b">
        <f>IF(CNC!C$16&lt;=J165,A165)</f>
        <v>0</v>
      </c>
      <c r="Q165" s="25" t="b">
        <f>IF(D165=CNC!AR$10,A165)</f>
        <v>0</v>
      </c>
      <c r="R165" s="25" t="b">
        <f t="shared" si="11"/>
        <v>0</v>
      </c>
    </row>
    <row r="166" spans="1:18" ht="17" customHeight="1">
      <c r="A166" s="4">
        <v>165</v>
      </c>
      <c r="B166" s="162">
        <v>5</v>
      </c>
      <c r="C166" s="162">
        <v>2</v>
      </c>
      <c r="D166" s="162">
        <v>1</v>
      </c>
      <c r="E166" s="133" t="s">
        <v>2290</v>
      </c>
      <c r="F166" s="133">
        <v>3</v>
      </c>
      <c r="G166" s="133">
        <v>1.4</v>
      </c>
      <c r="H166" s="133">
        <v>4</v>
      </c>
      <c r="I166" s="164">
        <v>0.35</v>
      </c>
      <c r="J166" s="133">
        <v>4.2</v>
      </c>
      <c r="K166" s="133">
        <v>39</v>
      </c>
      <c r="L166" s="133">
        <v>1.6</v>
      </c>
      <c r="M166" s="163">
        <v>98.4</v>
      </c>
      <c r="N166" s="38">
        <f>IF(CNC!C$14&gt;=L166,A166)</f>
        <v>165</v>
      </c>
      <c r="O166" s="25" t="b">
        <f>IF(CNC!C$15=I166,A166)</f>
        <v>0</v>
      </c>
      <c r="P166" s="25" t="b">
        <f>IF(CNC!C$16&lt;=J166,A166)</f>
        <v>0</v>
      </c>
      <c r="Q166" s="25">
        <f>IF(D166=CNC!AR$10,A166)</f>
        <v>165</v>
      </c>
      <c r="R166" s="25" t="b">
        <f t="shared" si="11"/>
        <v>0</v>
      </c>
    </row>
    <row r="167" spans="1:18" ht="17" customHeight="1">
      <c r="A167" s="4">
        <v>166</v>
      </c>
      <c r="B167" s="162">
        <v>5</v>
      </c>
      <c r="C167" s="162">
        <v>2</v>
      </c>
      <c r="D167" s="162">
        <v>1</v>
      </c>
      <c r="E167" s="133" t="s">
        <v>2305</v>
      </c>
      <c r="F167" s="133">
        <v>3</v>
      </c>
      <c r="G167" s="133">
        <v>1.2</v>
      </c>
      <c r="H167" s="133">
        <v>4</v>
      </c>
      <c r="I167" s="164">
        <v>0.2</v>
      </c>
      <c r="J167" s="133">
        <v>5.0999999999999996</v>
      </c>
      <c r="K167" s="133">
        <v>39</v>
      </c>
      <c r="L167" s="133">
        <v>1.4</v>
      </c>
      <c r="M167" s="163">
        <v>90.2</v>
      </c>
      <c r="N167" s="38">
        <f>IF(CNC!C$14&gt;=L167,A167)</f>
        <v>166</v>
      </c>
      <c r="O167" s="25" t="b">
        <f>IF(CNC!C$15=I167,A167)</f>
        <v>0</v>
      </c>
      <c r="P167" s="25" t="b">
        <f>IF(CNC!C$16&lt;=J167,A167)</f>
        <v>0</v>
      </c>
      <c r="Q167" s="25">
        <f>IF(D167=CNC!AR$10,A167)</f>
        <v>166</v>
      </c>
      <c r="R167" s="25" t="b">
        <f t="shared" si="11"/>
        <v>0</v>
      </c>
    </row>
    <row r="168" spans="1:18" ht="17" customHeight="1">
      <c r="A168" s="4">
        <v>167</v>
      </c>
      <c r="B168" s="162">
        <v>5</v>
      </c>
      <c r="C168" s="162">
        <v>2</v>
      </c>
      <c r="D168" s="162">
        <v>1</v>
      </c>
      <c r="E168" s="133" t="s">
        <v>2305</v>
      </c>
      <c r="F168" s="133">
        <v>3</v>
      </c>
      <c r="G168" s="133">
        <v>1.2</v>
      </c>
      <c r="H168" s="133">
        <v>4</v>
      </c>
      <c r="I168" s="164">
        <v>0.25</v>
      </c>
      <c r="J168" s="133">
        <v>5.0999999999999996</v>
      </c>
      <c r="K168" s="133">
        <v>39</v>
      </c>
      <c r="L168" s="133">
        <v>1.4</v>
      </c>
      <c r="M168" s="163">
        <v>90.2</v>
      </c>
      <c r="N168" s="38">
        <f>IF(CNC!C$14&gt;=L168,A168)</f>
        <v>167</v>
      </c>
      <c r="O168" s="25" t="b">
        <f>IF(CNC!C$15=I168,A168)</f>
        <v>0</v>
      </c>
      <c r="P168" s="25" t="b">
        <f>IF(CNC!C$16&lt;=J168,A168)</f>
        <v>0</v>
      </c>
      <c r="Q168" s="25">
        <f>IF(D168=CNC!AR$10,A168)</f>
        <v>167</v>
      </c>
      <c r="R168" s="25" t="b">
        <f t="shared" si="11"/>
        <v>0</v>
      </c>
    </row>
    <row r="169" spans="1:18" ht="17" customHeight="1">
      <c r="A169" s="4">
        <v>168</v>
      </c>
      <c r="B169" s="162">
        <v>5</v>
      </c>
      <c r="C169" s="162">
        <v>2</v>
      </c>
      <c r="D169" s="162">
        <v>1</v>
      </c>
      <c r="E169" s="133" t="s">
        <v>2305</v>
      </c>
      <c r="F169" s="133">
        <v>3</v>
      </c>
      <c r="G169" s="133">
        <v>1.2</v>
      </c>
      <c r="H169" s="133">
        <v>4</v>
      </c>
      <c r="I169" s="164">
        <v>0.35</v>
      </c>
      <c r="J169" s="133">
        <v>5.0999999999999996</v>
      </c>
      <c r="K169" s="133">
        <v>39</v>
      </c>
      <c r="L169" s="133">
        <v>1.4</v>
      </c>
      <c r="M169" s="163">
        <v>90.2</v>
      </c>
      <c r="N169" s="38">
        <f>IF(CNC!C$14&gt;=L169,A169)</f>
        <v>168</v>
      </c>
      <c r="O169" s="25" t="b">
        <f>IF(CNC!C$15=I169,A169)</f>
        <v>0</v>
      </c>
      <c r="P169" s="25" t="b">
        <f>IF(CNC!C$16&lt;=J169,A169)</f>
        <v>0</v>
      </c>
      <c r="Q169" s="25">
        <f>IF(D169=CNC!AR$10,A169)</f>
        <v>168</v>
      </c>
      <c r="R169" s="25" t="b">
        <f t="shared" si="11"/>
        <v>0</v>
      </c>
    </row>
    <row r="170" spans="1:18" ht="17" customHeight="1">
      <c r="A170" s="4">
        <v>169</v>
      </c>
      <c r="B170" s="162">
        <v>5</v>
      </c>
      <c r="C170" s="162">
        <v>2</v>
      </c>
      <c r="D170" s="162">
        <v>2</v>
      </c>
      <c r="E170" s="133" t="s">
        <v>2305</v>
      </c>
      <c r="F170" s="133">
        <v>3</v>
      </c>
      <c r="G170" s="133">
        <v>1.2</v>
      </c>
      <c r="H170" s="133">
        <v>4</v>
      </c>
      <c r="I170" s="164">
        <v>80</v>
      </c>
      <c r="J170" s="133">
        <v>5.0999999999999996</v>
      </c>
      <c r="K170" s="133">
        <v>39</v>
      </c>
      <c r="L170" s="133">
        <v>1.4</v>
      </c>
      <c r="M170" s="163">
        <v>90.2</v>
      </c>
      <c r="N170" s="38">
        <f>IF(CNC!C$14&gt;=L170,A170)</f>
        <v>169</v>
      </c>
      <c r="O170" s="25" t="b">
        <f>IF(CNC!C$15=I170,A170)</f>
        <v>0</v>
      </c>
      <c r="P170" s="25" t="b">
        <f>IF(CNC!C$16&lt;=J170,A170)</f>
        <v>0</v>
      </c>
      <c r="Q170" s="25" t="b">
        <f>IF(D170=CNC!AR$10,A170)</f>
        <v>0</v>
      </c>
      <c r="R170" s="25" t="b">
        <f t="shared" si="11"/>
        <v>0</v>
      </c>
    </row>
    <row r="171" spans="1:18" ht="17" customHeight="1">
      <c r="A171" s="4">
        <v>170</v>
      </c>
      <c r="B171" s="162">
        <v>5</v>
      </c>
      <c r="C171" s="162">
        <v>2</v>
      </c>
      <c r="D171" s="162">
        <v>1</v>
      </c>
      <c r="E171" s="133" t="s">
        <v>2289</v>
      </c>
      <c r="F171" s="133">
        <v>3</v>
      </c>
      <c r="G171" s="133">
        <v>1.2</v>
      </c>
      <c r="H171" s="133">
        <v>4</v>
      </c>
      <c r="I171" s="164">
        <v>0.35</v>
      </c>
      <c r="J171" s="133">
        <v>5.0999999999999996</v>
      </c>
      <c r="K171" s="133">
        <v>39</v>
      </c>
      <c r="L171" s="133">
        <v>1.4</v>
      </c>
      <c r="M171" s="163">
        <v>108.2</v>
      </c>
      <c r="N171" s="38">
        <f>IF(CNC!C$14&gt;=L171,A171)</f>
        <v>170</v>
      </c>
      <c r="O171" s="25" t="b">
        <f>IF(CNC!C$15=I171,A171)</f>
        <v>0</v>
      </c>
      <c r="P171" s="25" t="b">
        <f>IF(CNC!C$16&lt;=J171,A171)</f>
        <v>0</v>
      </c>
      <c r="Q171" s="25">
        <f>IF(D171=CNC!AR$10,A171)</f>
        <v>170</v>
      </c>
      <c r="R171" s="25" t="b">
        <f t="shared" si="11"/>
        <v>0</v>
      </c>
    </row>
    <row r="172" spans="1:18" ht="17" customHeight="1">
      <c r="A172" s="4">
        <v>171</v>
      </c>
      <c r="B172" s="162">
        <v>5</v>
      </c>
      <c r="C172" s="162">
        <v>2</v>
      </c>
      <c r="D172" s="162">
        <v>1</v>
      </c>
      <c r="E172" s="133" t="s">
        <v>2304</v>
      </c>
      <c r="F172" s="133">
        <v>3</v>
      </c>
      <c r="G172" s="133">
        <v>1.2</v>
      </c>
      <c r="H172" s="133">
        <v>4</v>
      </c>
      <c r="I172" s="164">
        <v>0.2</v>
      </c>
      <c r="J172" s="133">
        <v>3.6</v>
      </c>
      <c r="K172" s="133">
        <v>39</v>
      </c>
      <c r="L172" s="133">
        <v>1.4</v>
      </c>
      <c r="M172" s="163">
        <v>82</v>
      </c>
      <c r="N172" s="38">
        <f>IF(CNC!C$14&gt;=L172,A172)</f>
        <v>171</v>
      </c>
      <c r="O172" s="25" t="b">
        <f>IF(CNC!C$15=I172,A172)</f>
        <v>0</v>
      </c>
      <c r="P172" s="25" t="b">
        <f>IF(CNC!C$16&lt;=J172,A172)</f>
        <v>0</v>
      </c>
      <c r="Q172" s="25">
        <f>IF(D172=CNC!AR$10,A172)</f>
        <v>171</v>
      </c>
      <c r="R172" s="25" t="b">
        <f t="shared" si="11"/>
        <v>0</v>
      </c>
    </row>
    <row r="173" spans="1:18" ht="17" customHeight="1">
      <c r="A173" s="4">
        <v>172</v>
      </c>
      <c r="B173" s="162">
        <v>5</v>
      </c>
      <c r="C173" s="162">
        <v>2</v>
      </c>
      <c r="D173" s="162">
        <v>1</v>
      </c>
      <c r="E173" s="133" t="s">
        <v>2304</v>
      </c>
      <c r="F173" s="133">
        <v>3</v>
      </c>
      <c r="G173" s="133">
        <v>1.2</v>
      </c>
      <c r="H173" s="133">
        <v>4</v>
      </c>
      <c r="I173" s="164">
        <v>0.25</v>
      </c>
      <c r="J173" s="133">
        <v>3.6</v>
      </c>
      <c r="K173" s="133">
        <v>39</v>
      </c>
      <c r="L173" s="133">
        <v>1.4</v>
      </c>
      <c r="M173" s="163">
        <v>82</v>
      </c>
      <c r="N173" s="38">
        <f>IF(CNC!C$14&gt;=L173,A173)</f>
        <v>172</v>
      </c>
      <c r="O173" s="25" t="b">
        <f>IF(CNC!C$15=I173,A173)</f>
        <v>0</v>
      </c>
      <c r="P173" s="25" t="b">
        <f>IF(CNC!C$16&lt;=J173,A173)</f>
        <v>0</v>
      </c>
      <c r="Q173" s="25">
        <f>IF(D173=CNC!AR$10,A173)</f>
        <v>172</v>
      </c>
      <c r="R173" s="25" t="b">
        <f t="shared" si="11"/>
        <v>0</v>
      </c>
    </row>
    <row r="174" spans="1:18" ht="17" customHeight="1">
      <c r="A174" s="4">
        <v>173</v>
      </c>
      <c r="B174" s="162">
        <v>5</v>
      </c>
      <c r="C174" s="162">
        <v>2</v>
      </c>
      <c r="D174" s="162">
        <v>1</v>
      </c>
      <c r="E174" s="133" t="s">
        <v>2304</v>
      </c>
      <c r="F174" s="133">
        <v>3</v>
      </c>
      <c r="G174" s="133">
        <v>1.2</v>
      </c>
      <c r="H174" s="133">
        <v>4</v>
      </c>
      <c r="I174" s="164">
        <v>0.35</v>
      </c>
      <c r="J174" s="133">
        <v>3.6</v>
      </c>
      <c r="K174" s="133">
        <v>39</v>
      </c>
      <c r="L174" s="133">
        <v>1.4</v>
      </c>
      <c r="M174" s="163">
        <v>82</v>
      </c>
      <c r="N174" s="38">
        <f>IF(CNC!C$14&gt;=L174,A174)</f>
        <v>173</v>
      </c>
      <c r="O174" s="25" t="b">
        <f>IF(CNC!C$15=I174,A174)</f>
        <v>0</v>
      </c>
      <c r="P174" s="25" t="b">
        <f>IF(CNC!C$16&lt;=J174,A174)</f>
        <v>0</v>
      </c>
      <c r="Q174" s="25">
        <f>IF(D174=CNC!AR$10,A174)</f>
        <v>173</v>
      </c>
      <c r="R174" s="25" t="b">
        <f t="shared" si="11"/>
        <v>0</v>
      </c>
    </row>
    <row r="175" spans="1:18" ht="17" customHeight="1">
      <c r="A175" s="4">
        <v>174</v>
      </c>
      <c r="B175" s="162">
        <v>5</v>
      </c>
      <c r="C175" s="162">
        <v>2</v>
      </c>
      <c r="D175" s="162">
        <v>2</v>
      </c>
      <c r="E175" s="133" t="s">
        <v>2304</v>
      </c>
      <c r="F175" s="133">
        <v>3</v>
      </c>
      <c r="G175" s="133">
        <v>1.2</v>
      </c>
      <c r="H175" s="133">
        <v>4</v>
      </c>
      <c r="I175" s="164">
        <v>80</v>
      </c>
      <c r="J175" s="133">
        <v>3.6</v>
      </c>
      <c r="K175" s="133">
        <v>39</v>
      </c>
      <c r="L175" s="133">
        <v>1.4</v>
      </c>
      <c r="M175" s="163">
        <v>82</v>
      </c>
      <c r="N175" s="38">
        <f>IF(CNC!C$14&gt;=L175,A175)</f>
        <v>174</v>
      </c>
      <c r="O175" s="25" t="b">
        <f>IF(CNC!C$15=I175,A175)</f>
        <v>0</v>
      </c>
      <c r="P175" s="25" t="b">
        <f>IF(CNC!C$16&lt;=J175,A175)</f>
        <v>0</v>
      </c>
      <c r="Q175" s="25" t="b">
        <f>IF(D175=CNC!AR$10,A175)</f>
        <v>0</v>
      </c>
      <c r="R175" s="25" t="b">
        <f t="shared" si="11"/>
        <v>0</v>
      </c>
    </row>
    <row r="176" spans="1:18" ht="17" customHeight="1">
      <c r="A176" s="4">
        <v>175</v>
      </c>
      <c r="B176" s="162">
        <v>5</v>
      </c>
      <c r="C176" s="162">
        <v>2</v>
      </c>
      <c r="D176" s="162">
        <v>1</v>
      </c>
      <c r="E176" s="133" t="s">
        <v>2288</v>
      </c>
      <c r="F176" s="133">
        <v>3</v>
      </c>
      <c r="G176" s="133">
        <v>1.2</v>
      </c>
      <c r="H176" s="133">
        <v>4</v>
      </c>
      <c r="I176" s="164">
        <v>0.35</v>
      </c>
      <c r="J176" s="133">
        <v>3.6</v>
      </c>
      <c r="K176" s="133">
        <v>39</v>
      </c>
      <c r="L176" s="133">
        <v>1.4</v>
      </c>
      <c r="M176" s="163">
        <v>98.4</v>
      </c>
      <c r="N176" s="38">
        <f>IF(CNC!C$14&gt;=L176,A176)</f>
        <v>175</v>
      </c>
      <c r="O176" s="25" t="b">
        <f>IF(CNC!C$15=I176,A176)</f>
        <v>0</v>
      </c>
      <c r="P176" s="25" t="b">
        <f>IF(CNC!C$16&lt;=J176,A176)</f>
        <v>0</v>
      </c>
      <c r="Q176" s="25">
        <f>IF(D176=CNC!AR$10,A176)</f>
        <v>175</v>
      </c>
      <c r="R176" s="25" t="b">
        <f t="shared" si="11"/>
        <v>0</v>
      </c>
    </row>
    <row r="177" spans="1:18" ht="17" customHeight="1">
      <c r="A177" s="4">
        <v>176</v>
      </c>
      <c r="B177" s="162">
        <v>5</v>
      </c>
      <c r="C177" s="162">
        <v>2</v>
      </c>
      <c r="D177" s="162">
        <v>1</v>
      </c>
      <c r="E177" s="133" t="s">
        <v>2303</v>
      </c>
      <c r="F177" s="133">
        <v>3</v>
      </c>
      <c r="G177" s="133">
        <v>1.06</v>
      </c>
      <c r="H177" s="133">
        <v>3</v>
      </c>
      <c r="I177" s="164">
        <v>0.2</v>
      </c>
      <c r="J177" s="133">
        <v>4.4000000000000004</v>
      </c>
      <c r="K177" s="133">
        <v>39</v>
      </c>
      <c r="L177" s="133">
        <v>1.25</v>
      </c>
      <c r="M177" s="163">
        <v>90.2</v>
      </c>
      <c r="N177" s="38">
        <f>IF(CNC!C$14&gt;=L177,A177)</f>
        <v>176</v>
      </c>
      <c r="O177" s="25" t="b">
        <f>IF(CNC!C$15=I177,A177)</f>
        <v>0</v>
      </c>
      <c r="P177" s="25" t="b">
        <f>IF(CNC!C$16&lt;=J177,A177)</f>
        <v>0</v>
      </c>
      <c r="Q177" s="25">
        <f>IF(D177=CNC!AR$10,A177)</f>
        <v>176</v>
      </c>
      <c r="R177" s="25" t="b">
        <f t="shared" si="11"/>
        <v>0</v>
      </c>
    </row>
    <row r="178" spans="1:18" ht="17" customHeight="1">
      <c r="A178" s="4">
        <v>177</v>
      </c>
      <c r="B178" s="162">
        <v>5</v>
      </c>
      <c r="C178" s="162">
        <v>2</v>
      </c>
      <c r="D178" s="162">
        <v>1</v>
      </c>
      <c r="E178" s="133" t="s">
        <v>2303</v>
      </c>
      <c r="F178" s="133">
        <v>3</v>
      </c>
      <c r="G178" s="133">
        <v>1.06</v>
      </c>
      <c r="H178" s="133">
        <v>3</v>
      </c>
      <c r="I178" s="164">
        <v>0.25</v>
      </c>
      <c r="J178" s="133">
        <v>4.4000000000000004</v>
      </c>
      <c r="K178" s="133">
        <v>39</v>
      </c>
      <c r="L178" s="133">
        <v>1.25</v>
      </c>
      <c r="M178" s="163">
        <v>90.2</v>
      </c>
      <c r="N178" s="38">
        <f>IF(CNC!C$14&gt;=L178,A178)</f>
        <v>177</v>
      </c>
      <c r="O178" s="25" t="b">
        <f>IF(CNC!C$15=I178,A178)</f>
        <v>0</v>
      </c>
      <c r="P178" s="25" t="b">
        <f>IF(CNC!C$16&lt;=J178,A178)</f>
        <v>0</v>
      </c>
      <c r="Q178" s="25">
        <f>IF(D178=CNC!AR$10,A178)</f>
        <v>177</v>
      </c>
      <c r="R178" s="25" t="b">
        <f t="shared" si="11"/>
        <v>0</v>
      </c>
    </row>
    <row r="179" spans="1:18" ht="17" customHeight="1">
      <c r="A179" s="4">
        <v>178</v>
      </c>
      <c r="B179" s="162">
        <v>5</v>
      </c>
      <c r="C179" s="162">
        <v>2</v>
      </c>
      <c r="D179" s="162">
        <v>1</v>
      </c>
      <c r="E179" s="133" t="s">
        <v>2303</v>
      </c>
      <c r="F179" s="133">
        <v>3</v>
      </c>
      <c r="G179" s="133">
        <v>1.06</v>
      </c>
      <c r="H179" s="133">
        <v>3</v>
      </c>
      <c r="I179" s="164">
        <v>0.3</v>
      </c>
      <c r="J179" s="133">
        <v>4.4000000000000004</v>
      </c>
      <c r="K179" s="133">
        <v>39</v>
      </c>
      <c r="L179" s="133">
        <v>1.25</v>
      </c>
      <c r="M179" s="163">
        <v>90.2</v>
      </c>
      <c r="N179" s="38">
        <f>IF(CNC!C$14&gt;=L179,A179)</f>
        <v>178</v>
      </c>
      <c r="O179" s="25" t="b">
        <f>IF(CNC!C$15=I179,A179)</f>
        <v>0</v>
      </c>
      <c r="P179" s="25" t="b">
        <f>IF(CNC!C$16&lt;=J179,A179)</f>
        <v>0</v>
      </c>
      <c r="Q179" s="25">
        <f>IF(D179=CNC!AR$10,A179)</f>
        <v>178</v>
      </c>
      <c r="R179" s="25" t="b">
        <f t="shared" si="11"/>
        <v>0</v>
      </c>
    </row>
    <row r="180" spans="1:18" ht="17" customHeight="1">
      <c r="A180" s="4">
        <v>179</v>
      </c>
      <c r="B180" s="162">
        <v>5</v>
      </c>
      <c r="C180" s="162">
        <v>2</v>
      </c>
      <c r="D180" s="162">
        <v>1</v>
      </c>
      <c r="E180" s="133" t="s">
        <v>2287</v>
      </c>
      <c r="F180" s="133">
        <v>3</v>
      </c>
      <c r="G180" s="133">
        <v>1.06</v>
      </c>
      <c r="H180" s="133">
        <v>3</v>
      </c>
      <c r="I180" s="164">
        <v>0.3</v>
      </c>
      <c r="J180" s="133">
        <v>4.4000000000000004</v>
      </c>
      <c r="K180" s="133">
        <v>39</v>
      </c>
      <c r="L180" s="133">
        <v>1.25</v>
      </c>
      <c r="M180" s="163">
        <v>108.2</v>
      </c>
      <c r="N180" s="38">
        <f>IF(CNC!C$14&gt;=L180,A180)</f>
        <v>179</v>
      </c>
      <c r="O180" s="25" t="b">
        <f>IF(CNC!C$15=I180,A180)</f>
        <v>0</v>
      </c>
      <c r="P180" s="25" t="b">
        <f>IF(CNC!C$16&lt;=J180,A180)</f>
        <v>0</v>
      </c>
      <c r="Q180" s="25">
        <f>IF(D180=CNC!AR$10,A180)</f>
        <v>179</v>
      </c>
      <c r="R180" s="25" t="b">
        <f t="shared" si="11"/>
        <v>0</v>
      </c>
    </row>
    <row r="181" spans="1:18" ht="17" customHeight="1">
      <c r="A181" s="4">
        <v>180</v>
      </c>
      <c r="B181" s="162">
        <v>5</v>
      </c>
      <c r="C181" s="162">
        <v>2</v>
      </c>
      <c r="D181" s="162">
        <v>1</v>
      </c>
      <c r="E181" s="133" t="s">
        <v>2302</v>
      </c>
      <c r="F181" s="133">
        <v>3</v>
      </c>
      <c r="G181" s="133">
        <v>1.06</v>
      </c>
      <c r="H181" s="133">
        <v>3</v>
      </c>
      <c r="I181" s="164">
        <v>0.2</v>
      </c>
      <c r="J181" s="133">
        <v>3.3</v>
      </c>
      <c r="K181" s="133">
        <v>39</v>
      </c>
      <c r="L181" s="133">
        <v>1.25</v>
      </c>
      <c r="M181" s="163">
        <v>82</v>
      </c>
      <c r="N181" s="38">
        <f>IF(CNC!C$14&gt;=L181,A181)</f>
        <v>180</v>
      </c>
      <c r="O181" s="25" t="b">
        <f>IF(CNC!C$15=I181,A181)</f>
        <v>0</v>
      </c>
      <c r="P181" s="25" t="b">
        <f>IF(CNC!C$16&lt;=J181,A181)</f>
        <v>0</v>
      </c>
      <c r="Q181" s="25">
        <f>IF(D181=CNC!AR$10,A181)</f>
        <v>180</v>
      </c>
      <c r="R181" s="25" t="b">
        <f t="shared" si="11"/>
        <v>0</v>
      </c>
    </row>
    <row r="182" spans="1:18" ht="17" customHeight="1">
      <c r="A182" s="4">
        <v>181</v>
      </c>
      <c r="B182" s="162">
        <v>5</v>
      </c>
      <c r="C182" s="162">
        <v>2</v>
      </c>
      <c r="D182" s="162">
        <v>1</v>
      </c>
      <c r="E182" s="133" t="s">
        <v>2302</v>
      </c>
      <c r="F182" s="133">
        <v>3</v>
      </c>
      <c r="G182" s="133">
        <v>1.06</v>
      </c>
      <c r="H182" s="133">
        <v>3</v>
      </c>
      <c r="I182" s="164">
        <v>0.25</v>
      </c>
      <c r="J182" s="133">
        <v>3.3</v>
      </c>
      <c r="K182" s="133">
        <v>39</v>
      </c>
      <c r="L182" s="133">
        <v>1.25</v>
      </c>
      <c r="M182" s="163">
        <v>82</v>
      </c>
      <c r="N182" s="38">
        <f>IF(CNC!C$14&gt;=L182,A182)</f>
        <v>181</v>
      </c>
      <c r="O182" s="25" t="b">
        <f>IF(CNC!C$15=I182,A182)</f>
        <v>0</v>
      </c>
      <c r="P182" s="25" t="b">
        <f>IF(CNC!C$16&lt;=J182,A182)</f>
        <v>0</v>
      </c>
      <c r="Q182" s="25">
        <f>IF(D182=CNC!AR$10,A182)</f>
        <v>181</v>
      </c>
      <c r="R182" s="25" t="b">
        <f t="shared" si="11"/>
        <v>0</v>
      </c>
    </row>
    <row r="183" spans="1:18" ht="17" customHeight="1">
      <c r="A183" s="4">
        <v>182</v>
      </c>
      <c r="B183" s="162">
        <v>5</v>
      </c>
      <c r="C183" s="162">
        <v>2</v>
      </c>
      <c r="D183" s="162">
        <v>1</v>
      </c>
      <c r="E183" s="133" t="s">
        <v>2302</v>
      </c>
      <c r="F183" s="133">
        <v>3</v>
      </c>
      <c r="G183" s="133">
        <v>1.06</v>
      </c>
      <c r="H183" s="133">
        <v>3</v>
      </c>
      <c r="I183" s="164">
        <v>0.3</v>
      </c>
      <c r="J183" s="133">
        <v>3.3</v>
      </c>
      <c r="K183" s="133">
        <v>39</v>
      </c>
      <c r="L183" s="133">
        <v>1.25</v>
      </c>
      <c r="M183" s="163">
        <v>82</v>
      </c>
      <c r="N183" s="38">
        <f>IF(CNC!C$14&gt;=L183,A183)</f>
        <v>182</v>
      </c>
      <c r="O183" s="25" t="b">
        <f>IF(CNC!C$15=I183,A183)</f>
        <v>0</v>
      </c>
      <c r="P183" s="25" t="b">
        <f>IF(CNC!C$16&lt;=J183,A183)</f>
        <v>0</v>
      </c>
      <c r="Q183" s="25">
        <f>IF(D183=CNC!AR$10,A183)</f>
        <v>182</v>
      </c>
      <c r="R183" s="25" t="b">
        <f t="shared" si="11"/>
        <v>0</v>
      </c>
    </row>
    <row r="184" spans="1:18" ht="17" customHeight="1">
      <c r="A184" s="4">
        <v>183</v>
      </c>
      <c r="B184" s="162">
        <v>5</v>
      </c>
      <c r="C184" s="162">
        <v>2</v>
      </c>
      <c r="D184" s="162">
        <v>1</v>
      </c>
      <c r="E184" s="133" t="s">
        <v>2286</v>
      </c>
      <c r="F184" s="133">
        <v>3</v>
      </c>
      <c r="G184" s="133">
        <v>1.06</v>
      </c>
      <c r="H184" s="133">
        <v>3</v>
      </c>
      <c r="I184" s="164">
        <v>0.3</v>
      </c>
      <c r="J184" s="133">
        <v>3.3</v>
      </c>
      <c r="K184" s="133">
        <v>39</v>
      </c>
      <c r="L184" s="133">
        <v>1.25</v>
      </c>
      <c r="M184" s="163">
        <v>98.4</v>
      </c>
      <c r="N184" s="38">
        <f>IF(CNC!C$14&gt;=L184,A184)</f>
        <v>183</v>
      </c>
      <c r="O184" s="25" t="b">
        <f>IF(CNC!C$15=I184,A184)</f>
        <v>0</v>
      </c>
      <c r="P184" s="25" t="b">
        <f>IF(CNC!C$16&lt;=J184,A184)</f>
        <v>0</v>
      </c>
      <c r="Q184" s="25">
        <f>IF(D184=CNC!AR$10,A184)</f>
        <v>183</v>
      </c>
      <c r="R184" s="25" t="b">
        <f t="shared" si="11"/>
        <v>0</v>
      </c>
    </row>
    <row r="185" spans="1:18" ht="17" customHeight="1">
      <c r="A185" s="4">
        <v>184</v>
      </c>
      <c r="B185" s="162">
        <v>5</v>
      </c>
      <c r="C185" s="162">
        <v>2</v>
      </c>
      <c r="D185" s="162">
        <v>1</v>
      </c>
      <c r="E185" s="133" t="s">
        <v>2301</v>
      </c>
      <c r="F185" s="133">
        <v>3</v>
      </c>
      <c r="G185" s="133">
        <v>0.92</v>
      </c>
      <c r="H185" s="133">
        <v>3</v>
      </c>
      <c r="I185" s="164">
        <v>0.2</v>
      </c>
      <c r="J185" s="133">
        <v>3.9</v>
      </c>
      <c r="K185" s="133">
        <v>39</v>
      </c>
      <c r="L185" s="133">
        <v>1.05</v>
      </c>
      <c r="M185" s="163">
        <v>90.2</v>
      </c>
      <c r="N185" s="38">
        <f>IF(CNC!C$14&gt;=L185,A185)</f>
        <v>184</v>
      </c>
      <c r="O185" s="25" t="b">
        <f>IF(CNC!C$15=I185,A185)</f>
        <v>0</v>
      </c>
      <c r="P185" s="25" t="b">
        <f>IF(CNC!C$16&lt;=J185,A185)</f>
        <v>0</v>
      </c>
      <c r="Q185" s="25">
        <f>IF(D185=CNC!AR$10,A185)</f>
        <v>184</v>
      </c>
      <c r="R185" s="25" t="b">
        <f t="shared" si="11"/>
        <v>0</v>
      </c>
    </row>
    <row r="186" spans="1:18" ht="17" customHeight="1">
      <c r="A186" s="4">
        <v>185</v>
      </c>
      <c r="B186" s="162">
        <v>5</v>
      </c>
      <c r="C186" s="162">
        <v>2</v>
      </c>
      <c r="D186" s="162">
        <v>1</v>
      </c>
      <c r="E186" s="133" t="s">
        <v>2301</v>
      </c>
      <c r="F186" s="133">
        <v>3</v>
      </c>
      <c r="G186" s="133">
        <v>0.92</v>
      </c>
      <c r="H186" s="133">
        <v>3</v>
      </c>
      <c r="I186" s="164">
        <v>0.25</v>
      </c>
      <c r="J186" s="133">
        <v>3.9</v>
      </c>
      <c r="K186" s="133">
        <v>39</v>
      </c>
      <c r="L186" s="133">
        <v>1.05</v>
      </c>
      <c r="M186" s="163">
        <v>90.2</v>
      </c>
      <c r="N186" s="38">
        <f>IF(CNC!C$14&gt;=L186,A186)</f>
        <v>185</v>
      </c>
      <c r="O186" s="25" t="b">
        <f>IF(CNC!C$15=I186,A186)</f>
        <v>0</v>
      </c>
      <c r="P186" s="25" t="b">
        <f>IF(CNC!C$16&lt;=J186,A186)</f>
        <v>0</v>
      </c>
      <c r="Q186" s="25">
        <f>IF(D186=CNC!AR$10,A186)</f>
        <v>185</v>
      </c>
      <c r="R186" s="25" t="b">
        <f t="shared" si="11"/>
        <v>0</v>
      </c>
    </row>
    <row r="187" spans="1:18" ht="17" customHeight="1">
      <c r="A187" s="4">
        <v>186</v>
      </c>
      <c r="B187" s="162">
        <v>5</v>
      </c>
      <c r="C187" s="162">
        <v>2</v>
      </c>
      <c r="D187" s="162">
        <v>2</v>
      </c>
      <c r="E187" s="133" t="s">
        <v>2301</v>
      </c>
      <c r="F187" s="133">
        <v>3</v>
      </c>
      <c r="G187" s="133">
        <v>0.92</v>
      </c>
      <c r="H187" s="133">
        <v>3</v>
      </c>
      <c r="I187" s="164">
        <v>95</v>
      </c>
      <c r="J187" s="133">
        <v>3.9</v>
      </c>
      <c r="K187" s="133">
        <v>39</v>
      </c>
      <c r="L187" s="133">
        <v>1.05</v>
      </c>
      <c r="M187" s="163">
        <v>90.2</v>
      </c>
      <c r="N187" s="38">
        <f>IF(CNC!C$14&gt;=L187,A187)</f>
        <v>186</v>
      </c>
      <c r="O187" s="25" t="b">
        <f>IF(CNC!C$15=I187,A187)</f>
        <v>0</v>
      </c>
      <c r="P187" s="25" t="b">
        <f>IF(CNC!C$16&lt;=J187,A187)</f>
        <v>0</v>
      </c>
      <c r="Q187" s="25" t="b">
        <f>IF(D187=CNC!AR$10,A187)</f>
        <v>0</v>
      </c>
      <c r="R187" s="25" t="b">
        <f t="shared" si="11"/>
        <v>0</v>
      </c>
    </row>
    <row r="188" spans="1:18" ht="17" customHeight="1">
      <c r="A188" s="4">
        <v>187</v>
      </c>
      <c r="B188" s="162">
        <v>5</v>
      </c>
      <c r="C188" s="162">
        <v>2</v>
      </c>
      <c r="D188" s="162">
        <v>1</v>
      </c>
      <c r="E188" s="133" t="s">
        <v>2285</v>
      </c>
      <c r="F188" s="133">
        <v>3</v>
      </c>
      <c r="G188" s="133">
        <v>0.92</v>
      </c>
      <c r="H188" s="133">
        <v>3</v>
      </c>
      <c r="I188" s="164">
        <v>0.25</v>
      </c>
      <c r="J188" s="133">
        <v>3.9</v>
      </c>
      <c r="K188" s="133">
        <v>39</v>
      </c>
      <c r="L188" s="133">
        <v>1.05</v>
      </c>
      <c r="M188" s="163">
        <v>108.2</v>
      </c>
      <c r="N188" s="38">
        <f>IF(CNC!C$14&gt;=L188,A188)</f>
        <v>187</v>
      </c>
      <c r="O188" s="25" t="b">
        <f>IF(CNC!C$15=I188,A188)</f>
        <v>0</v>
      </c>
      <c r="P188" s="25" t="b">
        <f>IF(CNC!C$16&lt;=J188,A188)</f>
        <v>0</v>
      </c>
      <c r="Q188" s="25">
        <f>IF(D188=CNC!AR$10,A188)</f>
        <v>187</v>
      </c>
      <c r="R188" s="25" t="b">
        <f t="shared" si="11"/>
        <v>0</v>
      </c>
    </row>
    <row r="189" spans="1:18" ht="17" customHeight="1">
      <c r="A189" s="4">
        <v>188</v>
      </c>
      <c r="B189" s="162">
        <v>5</v>
      </c>
      <c r="C189" s="162">
        <v>2</v>
      </c>
      <c r="D189" s="162">
        <v>1</v>
      </c>
      <c r="E189" s="133" t="s">
        <v>2300</v>
      </c>
      <c r="F189" s="133">
        <v>3</v>
      </c>
      <c r="G189" s="133">
        <v>0.92</v>
      </c>
      <c r="H189" s="133">
        <v>3</v>
      </c>
      <c r="I189" s="164">
        <v>0.2</v>
      </c>
      <c r="J189" s="133">
        <v>2.9</v>
      </c>
      <c r="K189" s="133">
        <v>39</v>
      </c>
      <c r="L189" s="133">
        <v>1.05</v>
      </c>
      <c r="M189" s="163">
        <v>82</v>
      </c>
      <c r="N189" s="38">
        <f>IF(CNC!C$14&gt;=L189,A189)</f>
        <v>188</v>
      </c>
      <c r="O189" s="25" t="b">
        <f>IF(CNC!C$15=I189,A189)</f>
        <v>0</v>
      </c>
      <c r="P189" s="25" t="b">
        <f>IF(CNC!C$16&lt;=J189,A189)</f>
        <v>0</v>
      </c>
      <c r="Q189" s="25">
        <f>IF(D189=CNC!AR$10,A189)</f>
        <v>188</v>
      </c>
      <c r="R189" s="25" t="b">
        <f t="shared" si="11"/>
        <v>0</v>
      </c>
    </row>
    <row r="190" spans="1:18" ht="17" customHeight="1">
      <c r="A190" s="4">
        <v>189</v>
      </c>
      <c r="B190" s="162">
        <v>5</v>
      </c>
      <c r="C190" s="162">
        <v>2</v>
      </c>
      <c r="D190" s="162">
        <v>1</v>
      </c>
      <c r="E190" s="133" t="s">
        <v>2300</v>
      </c>
      <c r="F190" s="133">
        <v>3</v>
      </c>
      <c r="G190" s="133">
        <v>0.92</v>
      </c>
      <c r="H190" s="133">
        <v>3</v>
      </c>
      <c r="I190" s="164">
        <v>0.25</v>
      </c>
      <c r="J190" s="133">
        <v>2.9</v>
      </c>
      <c r="K190" s="133">
        <v>39</v>
      </c>
      <c r="L190" s="133">
        <v>1.05</v>
      </c>
      <c r="M190" s="163">
        <v>82</v>
      </c>
      <c r="N190" s="38">
        <f>IF(CNC!C$14&gt;=L190,A190)</f>
        <v>189</v>
      </c>
      <c r="O190" s="25" t="b">
        <f>IF(CNC!C$15=I190,A190)</f>
        <v>0</v>
      </c>
      <c r="P190" s="25" t="b">
        <f>IF(CNC!C$16&lt;=J190,A190)</f>
        <v>0</v>
      </c>
      <c r="Q190" s="25">
        <f>IF(D190=CNC!AR$10,A190)</f>
        <v>189</v>
      </c>
      <c r="R190" s="25" t="b">
        <f t="shared" si="11"/>
        <v>0</v>
      </c>
    </row>
    <row r="191" spans="1:18" ht="17" customHeight="1">
      <c r="A191" s="4">
        <v>190</v>
      </c>
      <c r="B191" s="162">
        <v>5</v>
      </c>
      <c r="C191" s="162">
        <v>2</v>
      </c>
      <c r="D191" s="162">
        <v>2</v>
      </c>
      <c r="E191" s="133" t="s">
        <v>2300</v>
      </c>
      <c r="F191" s="133">
        <v>3</v>
      </c>
      <c r="G191" s="133">
        <v>0.92</v>
      </c>
      <c r="H191" s="133">
        <v>3</v>
      </c>
      <c r="I191" s="164">
        <v>95</v>
      </c>
      <c r="J191" s="133">
        <v>2.9</v>
      </c>
      <c r="K191" s="133">
        <v>39</v>
      </c>
      <c r="L191" s="133">
        <v>1.05</v>
      </c>
      <c r="M191" s="163">
        <v>82</v>
      </c>
      <c r="N191" s="38">
        <f>IF(CNC!C$14&gt;=L191,A191)</f>
        <v>190</v>
      </c>
      <c r="O191" s="25" t="b">
        <f>IF(CNC!C$15=I191,A191)</f>
        <v>0</v>
      </c>
      <c r="P191" s="25" t="b">
        <f>IF(CNC!C$16&lt;=J191,A191)</f>
        <v>0</v>
      </c>
      <c r="Q191" s="25" t="b">
        <f>IF(D191=CNC!AR$10,A191)</f>
        <v>0</v>
      </c>
      <c r="R191" s="25" t="b">
        <f t="shared" si="11"/>
        <v>0</v>
      </c>
    </row>
    <row r="192" spans="1:18" ht="17" customHeight="1">
      <c r="A192" s="4">
        <v>191</v>
      </c>
      <c r="B192" s="162">
        <v>5</v>
      </c>
      <c r="C192" s="162">
        <v>2</v>
      </c>
      <c r="D192" s="162">
        <v>1</v>
      </c>
      <c r="E192" s="133" t="s">
        <v>2284</v>
      </c>
      <c r="F192" s="133">
        <v>3</v>
      </c>
      <c r="G192" s="133">
        <v>0.92</v>
      </c>
      <c r="H192" s="133">
        <v>3</v>
      </c>
      <c r="I192" s="164">
        <v>0.25</v>
      </c>
      <c r="J192" s="133">
        <v>2.9</v>
      </c>
      <c r="K192" s="133">
        <v>39</v>
      </c>
      <c r="L192" s="133">
        <v>1.05</v>
      </c>
      <c r="M192" s="163">
        <v>98.4</v>
      </c>
      <c r="N192" s="38">
        <f>IF(CNC!C$14&gt;=L192,A192)</f>
        <v>191</v>
      </c>
      <c r="O192" s="25" t="b">
        <f>IF(CNC!C$15=I192,A192)</f>
        <v>0</v>
      </c>
      <c r="P192" s="25" t="b">
        <f>IF(CNC!C$16&lt;=J192,A192)</f>
        <v>0</v>
      </c>
      <c r="Q192" s="25">
        <f>IF(D192=CNC!AR$10,A192)</f>
        <v>191</v>
      </c>
      <c r="R192" s="25" t="b">
        <f t="shared" si="11"/>
        <v>0</v>
      </c>
    </row>
    <row r="193" spans="1:18" ht="17" customHeight="1">
      <c r="A193" s="4">
        <v>192</v>
      </c>
      <c r="B193" s="162">
        <v>5</v>
      </c>
      <c r="C193" s="162">
        <v>2</v>
      </c>
      <c r="D193" s="162">
        <v>1</v>
      </c>
      <c r="E193" s="133" t="s">
        <v>2299</v>
      </c>
      <c r="F193" s="133">
        <v>3</v>
      </c>
      <c r="G193" s="133">
        <v>0.72</v>
      </c>
      <c r="H193" s="133">
        <v>3</v>
      </c>
      <c r="I193" s="164">
        <v>0.2</v>
      </c>
      <c r="J193" s="133">
        <v>3.2</v>
      </c>
      <c r="K193" s="133">
        <v>39</v>
      </c>
      <c r="L193" s="133">
        <v>0.85</v>
      </c>
      <c r="M193" s="163">
        <v>90.2</v>
      </c>
      <c r="N193" s="38">
        <f>IF(CNC!C$14&gt;=L193,A193)</f>
        <v>192</v>
      </c>
      <c r="O193" s="25" t="b">
        <f>IF(CNC!C$15=I193,A193)</f>
        <v>0</v>
      </c>
      <c r="P193" s="25" t="b">
        <f>IF(CNC!C$16&lt;=J193,A193)</f>
        <v>0</v>
      </c>
      <c r="Q193" s="25">
        <f>IF(D193=CNC!AR$10,A193)</f>
        <v>192</v>
      </c>
      <c r="R193" s="25" t="b">
        <f t="shared" ref="R193:R256" si="12">IF(N193=FALSE,FALSE,IF(O193=FALSE,FALSE,IF(P193=FALSE,FALSE,IF(Q193=FALSE,FALSE,A193))))</f>
        <v>0</v>
      </c>
    </row>
    <row r="194" spans="1:18" ht="17" customHeight="1">
      <c r="A194" s="4">
        <v>193</v>
      </c>
      <c r="B194" s="162">
        <v>5</v>
      </c>
      <c r="C194" s="162">
        <v>2</v>
      </c>
      <c r="D194" s="162">
        <v>1</v>
      </c>
      <c r="E194" s="133" t="s">
        <v>2299</v>
      </c>
      <c r="F194" s="133">
        <v>3</v>
      </c>
      <c r="G194" s="133">
        <v>0.72</v>
      </c>
      <c r="H194" s="133">
        <v>3</v>
      </c>
      <c r="I194" s="164">
        <v>0.25</v>
      </c>
      <c r="J194" s="133">
        <v>3.2</v>
      </c>
      <c r="K194" s="133">
        <v>39</v>
      </c>
      <c r="L194" s="133">
        <v>0.85</v>
      </c>
      <c r="M194" s="163">
        <v>90.2</v>
      </c>
      <c r="N194" s="38">
        <f>IF(CNC!C$14&gt;=L194,A194)</f>
        <v>193</v>
      </c>
      <c r="O194" s="25" t="b">
        <f>IF(CNC!C$15=I194,A194)</f>
        <v>0</v>
      </c>
      <c r="P194" s="25" t="b">
        <f>IF(CNC!C$16&lt;=J194,A194)</f>
        <v>0</v>
      </c>
      <c r="Q194" s="25">
        <f>IF(D194=CNC!AR$10,A194)</f>
        <v>193</v>
      </c>
      <c r="R194" s="25" t="b">
        <f t="shared" si="12"/>
        <v>0</v>
      </c>
    </row>
    <row r="195" spans="1:18" ht="17" customHeight="1">
      <c r="A195" s="4">
        <v>194</v>
      </c>
      <c r="B195" s="162">
        <v>5</v>
      </c>
      <c r="C195" s="162">
        <v>2</v>
      </c>
      <c r="D195" s="162">
        <v>1</v>
      </c>
      <c r="E195" s="133" t="s">
        <v>2283</v>
      </c>
      <c r="F195" s="133">
        <v>3</v>
      </c>
      <c r="G195" s="133">
        <v>0.72</v>
      </c>
      <c r="H195" s="133">
        <v>3</v>
      </c>
      <c r="I195" s="164">
        <v>0.25</v>
      </c>
      <c r="J195" s="133">
        <v>3.5</v>
      </c>
      <c r="K195" s="133">
        <v>39</v>
      </c>
      <c r="L195" s="133">
        <v>0.85</v>
      </c>
      <c r="M195" s="163">
        <v>108.2</v>
      </c>
      <c r="N195" s="38">
        <f>IF(CNC!C$14&gt;=L195,A195)</f>
        <v>194</v>
      </c>
      <c r="O195" s="25" t="b">
        <f>IF(CNC!C$15=I195,A195)</f>
        <v>0</v>
      </c>
      <c r="P195" s="25" t="b">
        <f>IF(CNC!C$16&lt;=J195,A195)</f>
        <v>0</v>
      </c>
      <c r="Q195" s="25">
        <f>IF(D195=CNC!AR$10,A195)</f>
        <v>194</v>
      </c>
      <c r="R195" s="25" t="b">
        <f t="shared" si="12"/>
        <v>0</v>
      </c>
    </row>
    <row r="196" spans="1:18" ht="17" customHeight="1">
      <c r="A196" s="4">
        <v>195</v>
      </c>
      <c r="B196" s="162">
        <v>5</v>
      </c>
      <c r="C196" s="162">
        <v>2</v>
      </c>
      <c r="D196" s="162">
        <v>1</v>
      </c>
      <c r="E196" s="133" t="s">
        <v>2298</v>
      </c>
      <c r="F196" s="133">
        <v>3</v>
      </c>
      <c r="G196" s="133">
        <v>0.72</v>
      </c>
      <c r="H196" s="133">
        <v>3</v>
      </c>
      <c r="I196" s="164">
        <v>0.2</v>
      </c>
      <c r="J196" s="133">
        <v>2.5</v>
      </c>
      <c r="K196" s="133">
        <v>39</v>
      </c>
      <c r="L196" s="133">
        <v>0.85</v>
      </c>
      <c r="M196" s="163">
        <v>77</v>
      </c>
      <c r="N196" s="38">
        <f>IF(CNC!C$14&gt;=L196,A196)</f>
        <v>195</v>
      </c>
      <c r="O196" s="25" t="b">
        <f>IF(CNC!C$15=I196,A196)</f>
        <v>0</v>
      </c>
      <c r="P196" s="25" t="b">
        <f>IF(CNC!C$16&lt;=J196,A196)</f>
        <v>0</v>
      </c>
      <c r="Q196" s="25">
        <f>IF(D196=CNC!AR$10,A196)</f>
        <v>195</v>
      </c>
      <c r="R196" s="25" t="b">
        <f t="shared" si="12"/>
        <v>0</v>
      </c>
    </row>
    <row r="197" spans="1:18" ht="17" customHeight="1">
      <c r="A197" s="4">
        <v>196</v>
      </c>
      <c r="B197" s="162">
        <v>5</v>
      </c>
      <c r="C197" s="162">
        <v>2</v>
      </c>
      <c r="D197" s="162">
        <v>1</v>
      </c>
      <c r="E197" s="133" t="s">
        <v>2298</v>
      </c>
      <c r="F197" s="133">
        <v>3</v>
      </c>
      <c r="G197" s="133">
        <v>0.72</v>
      </c>
      <c r="H197" s="133">
        <v>3</v>
      </c>
      <c r="I197" s="164">
        <v>0.25</v>
      </c>
      <c r="J197" s="133">
        <v>2.5</v>
      </c>
      <c r="K197" s="133">
        <v>39</v>
      </c>
      <c r="L197" s="133">
        <v>0.85</v>
      </c>
      <c r="M197" s="163">
        <v>77</v>
      </c>
      <c r="N197" s="38">
        <f>IF(CNC!C$14&gt;=L197,A197)</f>
        <v>196</v>
      </c>
      <c r="O197" s="25" t="b">
        <f>IF(CNC!C$15=I197,A197)</f>
        <v>0</v>
      </c>
      <c r="P197" s="25" t="b">
        <f>IF(CNC!C$16&lt;=J197,A197)</f>
        <v>0</v>
      </c>
      <c r="Q197" s="25">
        <f>IF(D197=CNC!AR$10,A197)</f>
        <v>196</v>
      </c>
      <c r="R197" s="25" t="b">
        <f t="shared" si="12"/>
        <v>0</v>
      </c>
    </row>
    <row r="198" spans="1:18" ht="17" customHeight="1">
      <c r="A198" s="4">
        <v>197</v>
      </c>
      <c r="B198" s="162">
        <v>5</v>
      </c>
      <c r="C198" s="162">
        <v>2</v>
      </c>
      <c r="D198" s="162">
        <v>1</v>
      </c>
      <c r="E198" s="133" t="s">
        <v>2282</v>
      </c>
      <c r="F198" s="133">
        <v>3</v>
      </c>
      <c r="G198" s="133">
        <v>0.72</v>
      </c>
      <c r="H198" s="133">
        <v>3</v>
      </c>
      <c r="I198" s="164">
        <v>0.25</v>
      </c>
      <c r="J198" s="133">
        <v>2.5</v>
      </c>
      <c r="K198" s="133">
        <v>39</v>
      </c>
      <c r="L198" s="133">
        <v>0.85</v>
      </c>
      <c r="M198" s="163">
        <v>98.4</v>
      </c>
      <c r="N198" s="38">
        <f>IF(CNC!C$14&gt;=L198,A198)</f>
        <v>197</v>
      </c>
      <c r="O198" s="25" t="b">
        <f>IF(CNC!C$15=I198,A198)</f>
        <v>0</v>
      </c>
      <c r="P198" s="25" t="b">
        <f>IF(CNC!C$16&lt;=J198,A198)</f>
        <v>0</v>
      </c>
      <c r="Q198" s="25">
        <f>IF(D198=CNC!AR$10,A198)</f>
        <v>197</v>
      </c>
      <c r="R198" s="25" t="b">
        <f t="shared" si="12"/>
        <v>0</v>
      </c>
    </row>
    <row r="199" spans="1:18" ht="17" customHeight="1">
      <c r="A199" s="4">
        <v>198</v>
      </c>
      <c r="B199" s="162">
        <v>5</v>
      </c>
      <c r="C199" s="162">
        <v>2</v>
      </c>
      <c r="D199" s="162">
        <v>1</v>
      </c>
      <c r="E199" s="133" t="s">
        <v>2297</v>
      </c>
      <c r="F199" s="133">
        <v>3</v>
      </c>
      <c r="G199" s="133">
        <v>0.57999999999999996</v>
      </c>
      <c r="H199" s="133">
        <v>3</v>
      </c>
      <c r="I199" s="164">
        <v>0.2</v>
      </c>
      <c r="J199" s="133">
        <v>2.7</v>
      </c>
      <c r="K199" s="133">
        <v>39</v>
      </c>
      <c r="L199" s="133">
        <v>0.7</v>
      </c>
      <c r="M199" s="163">
        <v>90.2</v>
      </c>
      <c r="N199" s="38">
        <f>IF(CNC!C$14&gt;=L199,A199)</f>
        <v>198</v>
      </c>
      <c r="O199" s="25" t="b">
        <f>IF(CNC!C$15=I199,A199)</f>
        <v>0</v>
      </c>
      <c r="P199" s="25" t="b">
        <f>IF(CNC!C$16&lt;=J199,A199)</f>
        <v>0</v>
      </c>
      <c r="Q199" s="25">
        <f>IF(D199=CNC!AR$10,A199)</f>
        <v>198</v>
      </c>
      <c r="R199" s="25" t="b">
        <f t="shared" si="12"/>
        <v>0</v>
      </c>
    </row>
    <row r="200" spans="1:18" ht="17" customHeight="1">
      <c r="A200" s="4">
        <v>199</v>
      </c>
      <c r="B200" s="162">
        <v>5</v>
      </c>
      <c r="C200" s="162">
        <v>2</v>
      </c>
      <c r="D200" s="162">
        <v>2</v>
      </c>
      <c r="E200" s="133" t="s">
        <v>2297</v>
      </c>
      <c r="F200" s="133">
        <v>3</v>
      </c>
      <c r="G200" s="133">
        <v>0.57999999999999996</v>
      </c>
      <c r="H200" s="133">
        <v>3</v>
      </c>
      <c r="I200" s="164">
        <v>120</v>
      </c>
      <c r="J200" s="133">
        <v>2.7</v>
      </c>
      <c r="K200" s="133">
        <v>39</v>
      </c>
      <c r="L200" s="133">
        <v>0.7</v>
      </c>
      <c r="M200" s="163">
        <v>90.2</v>
      </c>
      <c r="N200" s="38">
        <f>IF(CNC!C$14&gt;=L200,A200)</f>
        <v>199</v>
      </c>
      <c r="O200" s="25" t="b">
        <f>IF(CNC!C$15=I200,A200)</f>
        <v>0</v>
      </c>
      <c r="P200" s="25" t="b">
        <f>IF(CNC!C$16&lt;=J200,A200)</f>
        <v>0</v>
      </c>
      <c r="Q200" s="25" t="b">
        <f>IF(D200=CNC!AR$10,A200)</f>
        <v>0</v>
      </c>
      <c r="R200" s="25" t="b">
        <f t="shared" si="12"/>
        <v>0</v>
      </c>
    </row>
    <row r="201" spans="1:18" ht="17" customHeight="1">
      <c r="A201" s="4">
        <v>200</v>
      </c>
      <c r="B201" s="162">
        <v>5</v>
      </c>
      <c r="C201" s="162">
        <v>2</v>
      </c>
      <c r="D201" s="162">
        <v>1</v>
      </c>
      <c r="E201" s="133" t="s">
        <v>2296</v>
      </c>
      <c r="F201" s="133">
        <v>3</v>
      </c>
      <c r="G201" s="133">
        <v>0.57999999999999996</v>
      </c>
      <c r="H201" s="133">
        <v>3</v>
      </c>
      <c r="I201" s="164">
        <v>0.2</v>
      </c>
      <c r="J201" s="133">
        <v>2</v>
      </c>
      <c r="K201" s="133">
        <v>39</v>
      </c>
      <c r="L201" s="133">
        <v>0.7</v>
      </c>
      <c r="M201" s="163">
        <v>82</v>
      </c>
      <c r="N201" s="38">
        <f>IF(CNC!C$14&gt;=L201,A201)</f>
        <v>200</v>
      </c>
      <c r="O201" s="25" t="b">
        <f>IF(CNC!C$15=I201,A201)</f>
        <v>0</v>
      </c>
      <c r="P201" s="25" t="b">
        <f>IF(CNC!C$16&lt;=J201,A201)</f>
        <v>0</v>
      </c>
      <c r="Q201" s="25">
        <f>IF(D201=CNC!AR$10,A201)</f>
        <v>200</v>
      </c>
      <c r="R201" s="25" t="b">
        <f t="shared" si="12"/>
        <v>0</v>
      </c>
    </row>
    <row r="202" spans="1:18" ht="17" customHeight="1">
      <c r="A202" s="4">
        <v>201</v>
      </c>
      <c r="B202" s="162">
        <v>5</v>
      </c>
      <c r="C202" s="162">
        <v>2</v>
      </c>
      <c r="D202" s="162">
        <v>2</v>
      </c>
      <c r="E202" s="133" t="s">
        <v>2296</v>
      </c>
      <c r="F202" s="133">
        <v>3</v>
      </c>
      <c r="G202" s="133">
        <v>0.57999999999999996</v>
      </c>
      <c r="H202" s="133">
        <v>3</v>
      </c>
      <c r="I202" s="164">
        <v>120</v>
      </c>
      <c r="J202" s="133">
        <v>2</v>
      </c>
      <c r="K202" s="133">
        <v>39</v>
      </c>
      <c r="L202" s="133">
        <v>0.7</v>
      </c>
      <c r="M202" s="163">
        <v>82</v>
      </c>
      <c r="N202" s="38">
        <f>IF(CNC!C$14&gt;=L202,A202)</f>
        <v>201</v>
      </c>
      <c r="O202" s="25" t="b">
        <f>IF(CNC!C$15=I202,A202)</f>
        <v>0</v>
      </c>
      <c r="P202" s="25" t="b">
        <f>IF(CNC!C$16&lt;=J202,A202)</f>
        <v>0</v>
      </c>
      <c r="Q202" s="25" t="b">
        <f>IF(D202=CNC!AR$10,A202)</f>
        <v>0</v>
      </c>
      <c r="R202" s="25" t="b">
        <f t="shared" si="12"/>
        <v>0</v>
      </c>
    </row>
    <row r="203" spans="1:18" ht="17" customHeight="1">
      <c r="A203" s="4">
        <v>202</v>
      </c>
      <c r="B203" s="162">
        <v>5</v>
      </c>
      <c r="C203" s="162">
        <v>2</v>
      </c>
      <c r="D203" s="162">
        <v>1</v>
      </c>
      <c r="E203" s="133" t="s">
        <v>2295</v>
      </c>
      <c r="F203" s="133">
        <v>3</v>
      </c>
      <c r="G203" s="133">
        <v>0.44</v>
      </c>
      <c r="H203" s="133">
        <v>3</v>
      </c>
      <c r="I203" s="164">
        <v>0.15</v>
      </c>
      <c r="J203" s="133">
        <v>1.5</v>
      </c>
      <c r="K203" s="133">
        <v>39</v>
      </c>
      <c r="L203" s="133">
        <v>0.5</v>
      </c>
      <c r="M203" s="163">
        <v>90.2</v>
      </c>
      <c r="N203" s="38">
        <f>IF(CNC!C$14&gt;=L203,A203)</f>
        <v>202</v>
      </c>
      <c r="O203" s="25" t="b">
        <f>IF(CNC!C$15=I203,A203)</f>
        <v>0</v>
      </c>
      <c r="P203" s="25" t="b">
        <f>IF(CNC!C$16&lt;=J203,A203)</f>
        <v>0</v>
      </c>
      <c r="Q203" s="25">
        <f>IF(D203=CNC!AR$10,A203)</f>
        <v>202</v>
      </c>
      <c r="R203" s="25" t="b">
        <f t="shared" si="12"/>
        <v>0</v>
      </c>
    </row>
    <row r="204" spans="1:18" ht="17" customHeight="1">
      <c r="A204" s="4">
        <v>203</v>
      </c>
      <c r="B204" s="162">
        <v>5</v>
      </c>
      <c r="C204" s="162">
        <v>2</v>
      </c>
      <c r="D204" s="162">
        <v>1</v>
      </c>
      <c r="E204" s="133" t="s">
        <v>2294</v>
      </c>
      <c r="F204" s="133">
        <v>3</v>
      </c>
      <c r="G204" s="133">
        <v>0.37</v>
      </c>
      <c r="H204" s="133">
        <v>3</v>
      </c>
      <c r="I204" s="164">
        <v>0.125</v>
      </c>
      <c r="J204" s="133">
        <v>1.3</v>
      </c>
      <c r="K204" s="133">
        <v>39</v>
      </c>
      <c r="L204" s="133">
        <v>0.4</v>
      </c>
      <c r="M204" s="163">
        <v>90.2</v>
      </c>
      <c r="N204" s="38">
        <f>IF(CNC!C$14&gt;=L204,A204)</f>
        <v>203</v>
      </c>
      <c r="O204" s="25" t="b">
        <f>IF(CNC!C$15=I204,A204)</f>
        <v>0</v>
      </c>
      <c r="P204" s="25" t="b">
        <f>IF(CNC!C$16&lt;=J204,A204)</f>
        <v>0</v>
      </c>
      <c r="Q204" s="25">
        <f>IF(D204=CNC!AR$10,A204)</f>
        <v>203</v>
      </c>
      <c r="R204" s="25" t="b">
        <f t="shared" si="12"/>
        <v>0</v>
      </c>
    </row>
    <row r="205" spans="1:18" ht="17" customHeight="1">
      <c r="A205" s="4">
        <v>204</v>
      </c>
      <c r="B205" s="162">
        <v>5</v>
      </c>
      <c r="C205" s="162">
        <v>2</v>
      </c>
      <c r="D205" s="162">
        <v>2</v>
      </c>
      <c r="E205" s="133" t="s">
        <v>2294</v>
      </c>
      <c r="F205" s="133">
        <v>3</v>
      </c>
      <c r="G205" s="133">
        <v>0.37</v>
      </c>
      <c r="H205" s="133">
        <v>3</v>
      </c>
      <c r="I205" s="164">
        <v>160</v>
      </c>
      <c r="J205" s="133">
        <v>1.3</v>
      </c>
      <c r="K205" s="133">
        <v>39</v>
      </c>
      <c r="L205" s="133">
        <v>0.4</v>
      </c>
      <c r="M205" s="163">
        <v>90.2</v>
      </c>
      <c r="N205" s="38">
        <f>IF(CNC!C$14&gt;=L205,A205)</f>
        <v>204</v>
      </c>
      <c r="O205" s="25" t="b">
        <f>IF(CNC!C$15=I205,A205)</f>
        <v>0</v>
      </c>
      <c r="P205" s="25" t="b">
        <f>IF(CNC!C$16&lt;=J205,A205)</f>
        <v>0</v>
      </c>
      <c r="Q205" s="25" t="b">
        <f>IF(D205=CNC!AR$10,A205)</f>
        <v>0</v>
      </c>
      <c r="R205" s="25" t="b">
        <f t="shared" si="12"/>
        <v>0</v>
      </c>
    </row>
    <row r="206" spans="1:18" ht="17" customHeight="1">
      <c r="A206" s="4">
        <v>205</v>
      </c>
      <c r="B206" s="162">
        <v>6</v>
      </c>
      <c r="C206" s="162">
        <v>2</v>
      </c>
      <c r="D206" s="162">
        <v>1</v>
      </c>
      <c r="E206" s="133" t="s">
        <v>2281</v>
      </c>
      <c r="F206" s="133">
        <v>12</v>
      </c>
      <c r="G206" s="133">
        <v>12</v>
      </c>
      <c r="H206" s="133">
        <v>6</v>
      </c>
      <c r="I206" s="133">
        <v>2</v>
      </c>
      <c r="J206" s="133">
        <v>50</v>
      </c>
      <c r="K206" s="133">
        <v>100</v>
      </c>
      <c r="L206" s="133">
        <v>15.6</v>
      </c>
      <c r="M206" s="163">
        <v>237.6</v>
      </c>
      <c r="N206" s="38" t="b">
        <f>IF(CNC!C$14&gt;=L206,A206)</f>
        <v>0</v>
      </c>
      <c r="O206" s="25" t="b">
        <f>IF(CNC!C$15=I206,A206)</f>
        <v>0</v>
      </c>
      <c r="P206" s="25">
        <f>IF(CNC!C$16&lt;=J206,A206)</f>
        <v>205</v>
      </c>
      <c r="Q206" s="25">
        <f>IF(D206=CNC!AR$10,A206)</f>
        <v>205</v>
      </c>
      <c r="R206" s="25" t="b">
        <f t="shared" si="12"/>
        <v>0</v>
      </c>
    </row>
    <row r="207" spans="1:18" ht="17" customHeight="1">
      <c r="A207" s="4">
        <v>206</v>
      </c>
      <c r="B207" s="162">
        <v>6</v>
      </c>
      <c r="C207" s="162">
        <v>2</v>
      </c>
      <c r="D207" s="162">
        <v>1</v>
      </c>
      <c r="E207" s="133" t="s">
        <v>2280</v>
      </c>
      <c r="F207" s="133">
        <v>12</v>
      </c>
      <c r="G207" s="133">
        <v>12</v>
      </c>
      <c r="H207" s="133">
        <v>6</v>
      </c>
      <c r="I207" s="133">
        <v>2</v>
      </c>
      <c r="J207" s="133">
        <v>34</v>
      </c>
      <c r="K207" s="133">
        <v>83</v>
      </c>
      <c r="L207" s="133">
        <v>15.6</v>
      </c>
      <c r="M207" s="163">
        <v>216</v>
      </c>
      <c r="N207" s="38" t="b">
        <f>IF(CNC!C$14&gt;=L207,A207)</f>
        <v>0</v>
      </c>
      <c r="O207" s="25" t="b">
        <f>IF(CNC!C$15=I207,A207)</f>
        <v>0</v>
      </c>
      <c r="P207" s="25">
        <f>IF(CNC!C$16&lt;=J207,A207)</f>
        <v>206</v>
      </c>
      <c r="Q207" s="25">
        <f>IF(D207=CNC!AR$10,A207)</f>
        <v>206</v>
      </c>
      <c r="R207" s="25" t="b">
        <f t="shared" si="12"/>
        <v>0</v>
      </c>
    </row>
    <row r="208" spans="1:18" ht="17" customHeight="1">
      <c r="A208" s="4">
        <v>207</v>
      </c>
      <c r="B208" s="162">
        <v>6</v>
      </c>
      <c r="C208" s="162">
        <v>2</v>
      </c>
      <c r="D208" s="162">
        <v>1</v>
      </c>
      <c r="E208" s="133" t="s">
        <v>2279</v>
      </c>
      <c r="F208" s="133">
        <v>10</v>
      </c>
      <c r="G208" s="133">
        <v>10</v>
      </c>
      <c r="H208" s="133">
        <v>5</v>
      </c>
      <c r="I208" s="133">
        <v>2</v>
      </c>
      <c r="J208" s="133">
        <v>44</v>
      </c>
      <c r="K208" s="133">
        <v>100</v>
      </c>
      <c r="L208" s="133">
        <v>13.6</v>
      </c>
      <c r="M208" s="163">
        <v>202.3</v>
      </c>
      <c r="N208" s="38" t="b">
        <f>IF(CNC!C$14&gt;=L208,A208)</f>
        <v>0</v>
      </c>
      <c r="O208" s="25" t="b">
        <f>IF(CNC!C$15=I208,A208)</f>
        <v>0</v>
      </c>
      <c r="P208" s="25">
        <f>IF(CNC!C$16&lt;=J208,A208)</f>
        <v>207</v>
      </c>
      <c r="Q208" s="25">
        <f>IF(D208=CNC!AR$10,A208)</f>
        <v>207</v>
      </c>
      <c r="R208" s="25" t="b">
        <f t="shared" si="12"/>
        <v>0</v>
      </c>
    </row>
    <row r="209" spans="1:18" ht="17" customHeight="1">
      <c r="A209" s="4">
        <v>208</v>
      </c>
      <c r="B209" s="162">
        <v>6</v>
      </c>
      <c r="C209" s="162">
        <v>2</v>
      </c>
      <c r="D209" s="162">
        <v>1</v>
      </c>
      <c r="E209" s="133" t="s">
        <v>2278</v>
      </c>
      <c r="F209" s="133">
        <v>10</v>
      </c>
      <c r="G209" s="133">
        <v>10</v>
      </c>
      <c r="H209" s="133">
        <v>5</v>
      </c>
      <c r="I209" s="133">
        <v>2</v>
      </c>
      <c r="J209" s="133">
        <v>30</v>
      </c>
      <c r="K209" s="133">
        <v>76</v>
      </c>
      <c r="L209" s="133">
        <v>13.6</v>
      </c>
      <c r="M209" s="163">
        <v>183.9</v>
      </c>
      <c r="N209" s="38" t="b">
        <f>IF(CNC!C$14&gt;=L209,A209)</f>
        <v>0</v>
      </c>
      <c r="O209" s="25" t="b">
        <f>IF(CNC!C$15=I209,A209)</f>
        <v>0</v>
      </c>
      <c r="P209" s="25">
        <f>IF(CNC!C$16&lt;=J209,A209)</f>
        <v>208</v>
      </c>
      <c r="Q209" s="25">
        <f>IF(D209=CNC!AR$10,A209)</f>
        <v>208</v>
      </c>
      <c r="R209" s="25" t="b">
        <f t="shared" si="12"/>
        <v>0</v>
      </c>
    </row>
    <row r="210" spans="1:18" ht="17" customHeight="1">
      <c r="A210" s="4">
        <v>209</v>
      </c>
      <c r="B210" s="162">
        <v>6</v>
      </c>
      <c r="C210" s="162">
        <v>2</v>
      </c>
      <c r="D210" s="162">
        <v>1</v>
      </c>
      <c r="E210" s="133" t="s">
        <v>2277</v>
      </c>
      <c r="F210" s="133">
        <v>10</v>
      </c>
      <c r="G210" s="133">
        <v>9</v>
      </c>
      <c r="H210" s="133">
        <v>5</v>
      </c>
      <c r="I210" s="133">
        <v>1.75</v>
      </c>
      <c r="J210" s="133">
        <v>38</v>
      </c>
      <c r="K210" s="133">
        <v>100</v>
      </c>
      <c r="L210" s="133">
        <v>11.6</v>
      </c>
      <c r="M210" s="163">
        <v>202.3</v>
      </c>
      <c r="N210" s="38" t="b">
        <f>IF(CNC!C$14&gt;=L210,A210)</f>
        <v>0</v>
      </c>
      <c r="O210" s="25" t="b">
        <f>IF(CNC!C$15=I210,A210)</f>
        <v>0</v>
      </c>
      <c r="P210" s="25">
        <f>IF(CNC!C$16&lt;=J210,A210)</f>
        <v>209</v>
      </c>
      <c r="Q210" s="25">
        <f>IF(D210=CNC!AR$10,A210)</f>
        <v>209</v>
      </c>
      <c r="R210" s="25" t="b">
        <f t="shared" si="12"/>
        <v>0</v>
      </c>
    </row>
    <row r="211" spans="1:18" ht="17" customHeight="1">
      <c r="A211" s="4">
        <v>210</v>
      </c>
      <c r="B211" s="162">
        <v>6</v>
      </c>
      <c r="C211" s="162">
        <v>2</v>
      </c>
      <c r="D211" s="162">
        <v>1</v>
      </c>
      <c r="E211" s="133" t="s">
        <v>2276</v>
      </c>
      <c r="F211" s="133">
        <v>10</v>
      </c>
      <c r="G211" s="133">
        <v>9</v>
      </c>
      <c r="H211" s="133">
        <v>5</v>
      </c>
      <c r="I211" s="133">
        <v>1.75</v>
      </c>
      <c r="J211" s="133">
        <v>26</v>
      </c>
      <c r="K211" s="133">
        <v>76</v>
      </c>
      <c r="L211" s="133">
        <v>11.6</v>
      </c>
      <c r="M211" s="163">
        <v>183.9</v>
      </c>
      <c r="N211" s="38" t="b">
        <f>IF(CNC!C$14&gt;=L211,A211)</f>
        <v>0</v>
      </c>
      <c r="O211" s="25" t="b">
        <f>IF(CNC!C$15=I211,A211)</f>
        <v>0</v>
      </c>
      <c r="P211" s="25">
        <f>IF(CNC!C$16&lt;=J211,A211)</f>
        <v>210</v>
      </c>
      <c r="Q211" s="25">
        <f>IF(D211=CNC!AR$10,A211)</f>
        <v>210</v>
      </c>
      <c r="R211" s="25" t="b">
        <f t="shared" si="12"/>
        <v>0</v>
      </c>
    </row>
    <row r="212" spans="1:18" ht="17" customHeight="1">
      <c r="A212" s="4">
        <v>211</v>
      </c>
      <c r="B212" s="162">
        <v>6</v>
      </c>
      <c r="C212" s="162">
        <v>2</v>
      </c>
      <c r="D212" s="162">
        <v>1</v>
      </c>
      <c r="E212" s="133" t="s">
        <v>2275</v>
      </c>
      <c r="F212" s="133">
        <v>8</v>
      </c>
      <c r="G212" s="133">
        <v>7.5</v>
      </c>
      <c r="H212" s="133">
        <v>5</v>
      </c>
      <c r="I212" s="133">
        <v>1.5</v>
      </c>
      <c r="J212" s="133">
        <v>32</v>
      </c>
      <c r="K212" s="133">
        <v>76</v>
      </c>
      <c r="L212" s="133">
        <v>9.6</v>
      </c>
      <c r="M212" s="163">
        <v>159.1</v>
      </c>
      <c r="N212" s="38">
        <f>IF(CNC!C$14&gt;=L212,A212)</f>
        <v>211</v>
      </c>
      <c r="O212" s="25">
        <f>IF(CNC!C$15=I212,A212)</f>
        <v>211</v>
      </c>
      <c r="P212" s="25">
        <f>IF(CNC!C$16&lt;=J212,A212)</f>
        <v>211</v>
      </c>
      <c r="Q212" s="25">
        <f>IF(D212=CNC!AR$10,A212)</f>
        <v>211</v>
      </c>
      <c r="R212" s="25">
        <f t="shared" si="12"/>
        <v>211</v>
      </c>
    </row>
    <row r="213" spans="1:18" ht="17" customHeight="1">
      <c r="A213" s="4">
        <v>212</v>
      </c>
      <c r="B213" s="162">
        <v>6</v>
      </c>
      <c r="C213" s="162">
        <v>2</v>
      </c>
      <c r="D213" s="162">
        <v>1</v>
      </c>
      <c r="E213" s="133" t="s">
        <v>2274</v>
      </c>
      <c r="F213" s="133">
        <v>8</v>
      </c>
      <c r="G213" s="133">
        <v>7.5</v>
      </c>
      <c r="H213" s="133">
        <v>5</v>
      </c>
      <c r="I213" s="133">
        <v>1.5</v>
      </c>
      <c r="J213" s="133">
        <v>22</v>
      </c>
      <c r="K213" s="133">
        <v>63</v>
      </c>
      <c r="L213" s="133">
        <v>9.6</v>
      </c>
      <c r="M213" s="163">
        <v>144.6</v>
      </c>
      <c r="N213" s="38">
        <f>IF(CNC!C$14&gt;=L213,A213)</f>
        <v>212</v>
      </c>
      <c r="O213" s="25">
        <f>IF(CNC!C$15=I213,A213)</f>
        <v>212</v>
      </c>
      <c r="P213" s="25">
        <f>IF(CNC!C$16&lt;=J213,A213)</f>
        <v>212</v>
      </c>
      <c r="Q213" s="25">
        <f>IF(D213=CNC!AR$10,A213)</f>
        <v>212</v>
      </c>
      <c r="R213" s="25">
        <f t="shared" si="12"/>
        <v>212</v>
      </c>
    </row>
    <row r="214" spans="1:18" ht="17" customHeight="1">
      <c r="A214" s="4">
        <v>213</v>
      </c>
      <c r="B214" s="162">
        <v>6</v>
      </c>
      <c r="C214" s="162">
        <v>2</v>
      </c>
      <c r="D214" s="162">
        <v>1</v>
      </c>
      <c r="E214" s="133" t="s">
        <v>2273</v>
      </c>
      <c r="F214" s="133">
        <v>6</v>
      </c>
      <c r="G214" s="133">
        <v>6</v>
      </c>
      <c r="H214" s="133">
        <v>5</v>
      </c>
      <c r="I214" s="133">
        <v>1.25</v>
      </c>
      <c r="J214" s="133">
        <v>25.3</v>
      </c>
      <c r="K214" s="133">
        <v>76</v>
      </c>
      <c r="L214" s="133">
        <v>7.8</v>
      </c>
      <c r="M214" s="163">
        <v>125.7</v>
      </c>
      <c r="N214" s="38">
        <f>IF(CNC!C$14&gt;=L214,A214)</f>
        <v>213</v>
      </c>
      <c r="O214" s="25" t="b">
        <f>IF(CNC!C$15=I214,A214)</f>
        <v>0</v>
      </c>
      <c r="P214" s="25">
        <f>IF(CNC!C$16&lt;=J214,A214)</f>
        <v>213</v>
      </c>
      <c r="Q214" s="25">
        <f>IF(D214=CNC!AR$10,A214)</f>
        <v>213</v>
      </c>
      <c r="R214" s="25" t="b">
        <f t="shared" si="12"/>
        <v>0</v>
      </c>
    </row>
    <row r="215" spans="1:18" ht="17" customHeight="1">
      <c r="A215" s="4">
        <v>214</v>
      </c>
      <c r="B215" s="162">
        <v>6</v>
      </c>
      <c r="C215" s="162">
        <v>2</v>
      </c>
      <c r="D215" s="162">
        <v>1</v>
      </c>
      <c r="E215" s="133" t="s">
        <v>2272</v>
      </c>
      <c r="F215" s="133">
        <v>6</v>
      </c>
      <c r="G215" s="133">
        <v>6</v>
      </c>
      <c r="H215" s="133">
        <v>5</v>
      </c>
      <c r="I215" s="133">
        <v>1.25</v>
      </c>
      <c r="J215" s="133">
        <v>17.3</v>
      </c>
      <c r="K215" s="133">
        <v>63</v>
      </c>
      <c r="L215" s="133">
        <v>7.8</v>
      </c>
      <c r="M215" s="163">
        <v>114.3</v>
      </c>
      <c r="N215" s="38">
        <f>IF(CNC!C$14&gt;=L215,A215)</f>
        <v>214</v>
      </c>
      <c r="O215" s="25" t="b">
        <f>IF(CNC!C$15=I215,A215)</f>
        <v>0</v>
      </c>
      <c r="P215" s="25" t="b">
        <f>IF(CNC!C$16&lt;=J215,A215)</f>
        <v>0</v>
      </c>
      <c r="Q215" s="25">
        <f>IF(D215=CNC!AR$10,A215)</f>
        <v>214</v>
      </c>
      <c r="R215" s="25" t="b">
        <f t="shared" si="12"/>
        <v>0</v>
      </c>
    </row>
    <row r="216" spans="1:18" ht="17" customHeight="1">
      <c r="A216" s="4">
        <v>215</v>
      </c>
      <c r="B216" s="162">
        <v>6</v>
      </c>
      <c r="C216" s="162">
        <v>2</v>
      </c>
      <c r="D216" s="162">
        <v>1</v>
      </c>
      <c r="E216" s="133" t="s">
        <v>2271</v>
      </c>
      <c r="F216" s="133">
        <v>6</v>
      </c>
      <c r="G216" s="133">
        <v>4.5</v>
      </c>
      <c r="H216" s="133">
        <v>5</v>
      </c>
      <c r="I216" s="133">
        <v>1</v>
      </c>
      <c r="J216" s="133">
        <v>19</v>
      </c>
      <c r="K216" s="133">
        <v>76</v>
      </c>
      <c r="L216" s="133">
        <v>5.8</v>
      </c>
      <c r="M216" s="163">
        <v>125.7</v>
      </c>
      <c r="N216" s="38">
        <f>IF(CNC!C$14&gt;=L216,A216)</f>
        <v>215</v>
      </c>
      <c r="O216" s="25" t="b">
        <f>IF(CNC!C$15=I216,A216)</f>
        <v>0</v>
      </c>
      <c r="P216" s="25" t="b">
        <f>IF(CNC!C$16&lt;=J216,A216)</f>
        <v>0</v>
      </c>
      <c r="Q216" s="25">
        <f>IF(D216=CNC!AR$10,A216)</f>
        <v>215</v>
      </c>
      <c r="R216" s="25" t="b">
        <f t="shared" si="12"/>
        <v>0</v>
      </c>
    </row>
    <row r="217" spans="1:18" ht="17" customHeight="1">
      <c r="A217" s="4">
        <v>216</v>
      </c>
      <c r="B217" s="162">
        <v>6</v>
      </c>
      <c r="C217" s="162">
        <v>2</v>
      </c>
      <c r="D217" s="162">
        <v>1</v>
      </c>
      <c r="E217" s="133" t="s">
        <v>2270</v>
      </c>
      <c r="F217" s="133">
        <v>6</v>
      </c>
      <c r="G217" s="133">
        <v>4.5</v>
      </c>
      <c r="H217" s="133">
        <v>5</v>
      </c>
      <c r="I217" s="133">
        <v>1</v>
      </c>
      <c r="J217" s="133">
        <v>13</v>
      </c>
      <c r="K217" s="133">
        <v>63</v>
      </c>
      <c r="L217" s="133">
        <v>5.8</v>
      </c>
      <c r="M217" s="163">
        <v>114.3</v>
      </c>
      <c r="N217" s="38">
        <f>IF(CNC!C$14&gt;=L217,A217)</f>
        <v>216</v>
      </c>
      <c r="O217" s="25" t="b">
        <f>IF(CNC!C$15=I217,A217)</f>
        <v>0</v>
      </c>
      <c r="P217" s="25" t="b">
        <f>IF(CNC!C$16&lt;=J217,A217)</f>
        <v>0</v>
      </c>
      <c r="Q217" s="25">
        <f>IF(D217=CNC!AR$10,A217)</f>
        <v>216</v>
      </c>
      <c r="R217" s="25" t="b">
        <f t="shared" si="12"/>
        <v>0</v>
      </c>
    </row>
    <row r="218" spans="1:18" ht="17" customHeight="1">
      <c r="A218" s="4">
        <v>217</v>
      </c>
      <c r="B218" s="162">
        <v>6</v>
      </c>
      <c r="C218" s="162">
        <v>2</v>
      </c>
      <c r="D218" s="162">
        <v>1</v>
      </c>
      <c r="E218" s="133" t="s">
        <v>2264</v>
      </c>
      <c r="F218" s="133">
        <v>4</v>
      </c>
      <c r="G218" s="133">
        <v>3</v>
      </c>
      <c r="H218" s="133">
        <v>5</v>
      </c>
      <c r="I218" s="133">
        <v>0.7</v>
      </c>
      <c r="J218" s="133">
        <v>9</v>
      </c>
      <c r="K218" s="133">
        <v>50</v>
      </c>
      <c r="L218" s="133">
        <v>3.8</v>
      </c>
      <c r="M218" s="163">
        <v>98.4</v>
      </c>
      <c r="N218" s="38">
        <f>IF(CNC!C$14&gt;=L218,A218)</f>
        <v>217</v>
      </c>
      <c r="O218" s="25" t="b">
        <f>IF(CNC!C$15=I218,A218)</f>
        <v>0</v>
      </c>
      <c r="P218" s="25" t="b">
        <f>IF(CNC!C$16&lt;=J218,A218)</f>
        <v>0</v>
      </c>
      <c r="Q218" s="25">
        <f>IF(D218=CNC!AR$10,A218)</f>
        <v>217</v>
      </c>
      <c r="R218" s="25" t="b">
        <f t="shared" si="12"/>
        <v>0</v>
      </c>
    </row>
    <row r="219" spans="1:18" ht="17" customHeight="1">
      <c r="A219" s="4">
        <v>218</v>
      </c>
      <c r="B219" s="162">
        <v>6</v>
      </c>
      <c r="C219" s="162">
        <v>2</v>
      </c>
      <c r="D219" s="162">
        <v>1</v>
      </c>
      <c r="E219" s="133" t="s">
        <v>2265</v>
      </c>
      <c r="F219" s="133">
        <v>4</v>
      </c>
      <c r="G219" s="133">
        <v>3</v>
      </c>
      <c r="H219" s="133">
        <v>5</v>
      </c>
      <c r="I219" s="133">
        <v>0.7</v>
      </c>
      <c r="J219" s="133">
        <v>13</v>
      </c>
      <c r="K219" s="133">
        <v>50</v>
      </c>
      <c r="L219" s="133">
        <v>3.8</v>
      </c>
      <c r="M219" s="163">
        <v>108.2</v>
      </c>
      <c r="N219" s="38">
        <f>IF(CNC!C$14&gt;=L219,A219)</f>
        <v>218</v>
      </c>
      <c r="O219" s="25" t="b">
        <f>IF(CNC!C$15=I219,A219)</f>
        <v>0</v>
      </c>
      <c r="P219" s="25" t="b">
        <f>IF(CNC!C$16&lt;=J219,A219)</f>
        <v>0</v>
      </c>
      <c r="Q219" s="25">
        <f>IF(D219=CNC!AR$10,A219)</f>
        <v>218</v>
      </c>
      <c r="R219" s="25" t="b">
        <f t="shared" si="12"/>
        <v>0</v>
      </c>
    </row>
    <row r="220" spans="1:18" ht="17" customHeight="1">
      <c r="A220" s="4">
        <v>219</v>
      </c>
      <c r="B220" s="162">
        <v>6</v>
      </c>
      <c r="C220" s="162">
        <v>2</v>
      </c>
      <c r="D220" s="162">
        <v>1</v>
      </c>
      <c r="E220" s="133" t="s">
        <v>2269</v>
      </c>
      <c r="F220" s="133">
        <v>4</v>
      </c>
      <c r="G220" s="133">
        <v>3.8</v>
      </c>
      <c r="H220" s="133">
        <v>5</v>
      </c>
      <c r="I220" s="133">
        <v>0.8</v>
      </c>
      <c r="J220" s="133">
        <v>16</v>
      </c>
      <c r="K220" s="133">
        <v>50</v>
      </c>
      <c r="L220" s="133">
        <v>4.8</v>
      </c>
      <c r="M220" s="163">
        <v>108.2</v>
      </c>
      <c r="N220" s="38">
        <f>IF(CNC!C$14&gt;=L220,A220)</f>
        <v>219</v>
      </c>
      <c r="O220" s="25" t="b">
        <f>IF(CNC!C$15=I220,A220)</f>
        <v>0</v>
      </c>
      <c r="P220" s="25" t="b">
        <f>IF(CNC!C$16&lt;=J220,A220)</f>
        <v>0</v>
      </c>
      <c r="Q220" s="25">
        <f>IF(D220=CNC!AR$10,A220)</f>
        <v>219</v>
      </c>
      <c r="R220" s="25" t="b">
        <f t="shared" si="12"/>
        <v>0</v>
      </c>
    </row>
    <row r="221" spans="1:18" ht="17" customHeight="1">
      <c r="A221" s="4">
        <v>220</v>
      </c>
      <c r="B221" s="162">
        <v>6</v>
      </c>
      <c r="C221" s="162">
        <v>2</v>
      </c>
      <c r="D221" s="162">
        <v>1</v>
      </c>
      <c r="E221" s="133" t="s">
        <v>2268</v>
      </c>
      <c r="F221" s="133">
        <v>4</v>
      </c>
      <c r="G221" s="133">
        <v>3.8</v>
      </c>
      <c r="H221" s="133">
        <v>5</v>
      </c>
      <c r="I221" s="133">
        <v>0.8</v>
      </c>
      <c r="J221" s="133">
        <v>11</v>
      </c>
      <c r="K221" s="133">
        <v>50</v>
      </c>
      <c r="L221" s="133">
        <v>4.8</v>
      </c>
      <c r="M221" s="163">
        <v>98.4</v>
      </c>
      <c r="N221" s="38">
        <f>IF(CNC!C$14&gt;=L221,A221)</f>
        <v>220</v>
      </c>
      <c r="O221" s="25" t="b">
        <f>IF(CNC!C$15=I221,A221)</f>
        <v>0</v>
      </c>
      <c r="P221" s="25" t="b">
        <f>IF(CNC!C$16&lt;=J221,A221)</f>
        <v>0</v>
      </c>
      <c r="Q221" s="25">
        <f>IF(D221=CNC!AR$10,A221)</f>
        <v>220</v>
      </c>
      <c r="R221" s="25" t="b">
        <f t="shared" si="12"/>
        <v>0</v>
      </c>
    </row>
    <row r="222" spans="1:18" ht="17" customHeight="1">
      <c r="A222" s="4">
        <v>221</v>
      </c>
      <c r="B222" s="162">
        <v>6</v>
      </c>
      <c r="C222" s="162">
        <v>2</v>
      </c>
      <c r="D222" s="162">
        <v>1</v>
      </c>
      <c r="E222" s="133" t="s">
        <v>2267</v>
      </c>
      <c r="F222" s="133">
        <v>4</v>
      </c>
      <c r="G222" s="133">
        <v>3.4</v>
      </c>
      <c r="H222" s="133">
        <v>5</v>
      </c>
      <c r="I222" s="133">
        <v>0.75</v>
      </c>
      <c r="J222" s="133">
        <v>14.3</v>
      </c>
      <c r="K222" s="133">
        <v>50</v>
      </c>
      <c r="L222" s="133">
        <v>4.3</v>
      </c>
      <c r="M222" s="163">
        <v>108.2</v>
      </c>
      <c r="N222" s="38">
        <f>IF(CNC!C$14&gt;=L222,A222)</f>
        <v>221</v>
      </c>
      <c r="O222" s="25" t="b">
        <f>IF(CNC!C$15=I222,A222)</f>
        <v>0</v>
      </c>
      <c r="P222" s="25" t="b">
        <f>IF(CNC!C$16&lt;=J222,A222)</f>
        <v>0</v>
      </c>
      <c r="Q222" s="25">
        <f>IF(D222=CNC!AR$10,A222)</f>
        <v>221</v>
      </c>
      <c r="R222" s="25" t="b">
        <f t="shared" si="12"/>
        <v>0</v>
      </c>
    </row>
    <row r="223" spans="1:18" ht="17" customHeight="1">
      <c r="A223" s="4">
        <v>222</v>
      </c>
      <c r="B223" s="162">
        <v>6</v>
      </c>
      <c r="C223" s="162">
        <v>2</v>
      </c>
      <c r="D223" s="162">
        <v>1</v>
      </c>
      <c r="E223" s="133" t="s">
        <v>2266</v>
      </c>
      <c r="F223" s="133">
        <v>4</v>
      </c>
      <c r="G223" s="133">
        <v>3.4</v>
      </c>
      <c r="H223" s="133">
        <v>5</v>
      </c>
      <c r="I223" s="133">
        <v>0.75</v>
      </c>
      <c r="J223" s="133">
        <v>10</v>
      </c>
      <c r="K223" s="133">
        <v>50</v>
      </c>
      <c r="L223" s="133">
        <v>4.3</v>
      </c>
      <c r="M223" s="163">
        <v>98.4</v>
      </c>
      <c r="N223" s="38">
        <f>IF(CNC!C$14&gt;=L223,A223)</f>
        <v>222</v>
      </c>
      <c r="O223" s="25" t="b">
        <f>IF(CNC!C$15=I223,A223)</f>
        <v>0</v>
      </c>
      <c r="P223" s="25" t="b">
        <f>IF(CNC!C$16&lt;=J223,A223)</f>
        <v>0</v>
      </c>
      <c r="Q223" s="25">
        <f>IF(D223=CNC!AR$10,A223)</f>
        <v>222</v>
      </c>
      <c r="R223" s="25" t="b">
        <f t="shared" si="12"/>
        <v>0</v>
      </c>
    </row>
    <row r="224" spans="1:18" ht="17" customHeight="1">
      <c r="A224" s="4">
        <v>223</v>
      </c>
      <c r="B224" s="162">
        <v>6</v>
      </c>
      <c r="C224" s="162">
        <v>2</v>
      </c>
      <c r="D224" s="162">
        <v>1</v>
      </c>
      <c r="E224" s="133" t="s">
        <v>2262</v>
      </c>
      <c r="F224" s="133">
        <v>4</v>
      </c>
      <c r="G224" s="133">
        <v>2.6</v>
      </c>
      <c r="H224" s="133">
        <v>5</v>
      </c>
      <c r="I224" s="133">
        <v>0.6</v>
      </c>
      <c r="J224" s="133">
        <v>7.6</v>
      </c>
      <c r="K224" s="133">
        <v>50</v>
      </c>
      <c r="L224" s="133">
        <v>3.3</v>
      </c>
      <c r="M224" s="163">
        <v>98.4</v>
      </c>
      <c r="N224" s="38">
        <f>IF(CNC!C$14&gt;=L224,A224)</f>
        <v>223</v>
      </c>
      <c r="O224" s="25" t="b">
        <f>IF(CNC!C$15=I224,A224)</f>
        <v>0</v>
      </c>
      <c r="P224" s="25" t="b">
        <f>IF(CNC!C$16&lt;=J224,A224)</f>
        <v>0</v>
      </c>
      <c r="Q224" s="25">
        <f>IF(D224=CNC!AR$10,A224)</f>
        <v>223</v>
      </c>
      <c r="R224" s="25" t="b">
        <f t="shared" si="12"/>
        <v>0</v>
      </c>
    </row>
    <row r="225" spans="1:18" ht="17" customHeight="1">
      <c r="A225" s="4">
        <v>224</v>
      </c>
      <c r="B225" s="162">
        <v>6</v>
      </c>
      <c r="C225" s="162">
        <v>2</v>
      </c>
      <c r="D225" s="162">
        <v>1</v>
      </c>
      <c r="E225" s="133" t="s">
        <v>2263</v>
      </c>
      <c r="F225" s="133">
        <v>4</v>
      </c>
      <c r="G225" s="133">
        <v>2.6</v>
      </c>
      <c r="H225" s="133">
        <v>5</v>
      </c>
      <c r="I225" s="133">
        <v>0.6</v>
      </c>
      <c r="J225" s="133">
        <v>11.1</v>
      </c>
      <c r="K225" s="133">
        <v>50</v>
      </c>
      <c r="L225" s="133">
        <v>3.3</v>
      </c>
      <c r="M225" s="163">
        <v>108.2</v>
      </c>
      <c r="N225" s="38">
        <f>IF(CNC!C$14&gt;=L225,A225)</f>
        <v>224</v>
      </c>
      <c r="O225" s="25" t="b">
        <f>IF(CNC!C$15=I225,A225)</f>
        <v>0</v>
      </c>
      <c r="P225" s="25" t="b">
        <f>IF(CNC!C$16&lt;=J225,A225)</f>
        <v>0</v>
      </c>
      <c r="Q225" s="25">
        <f>IF(D225=CNC!AR$10,A225)</f>
        <v>224</v>
      </c>
      <c r="R225" s="25" t="b">
        <f t="shared" si="12"/>
        <v>0</v>
      </c>
    </row>
    <row r="226" spans="1:18" ht="17" customHeight="1">
      <c r="A226" s="4">
        <v>225</v>
      </c>
      <c r="B226" s="162">
        <v>6</v>
      </c>
      <c r="C226" s="162">
        <v>2</v>
      </c>
      <c r="D226" s="162">
        <v>1</v>
      </c>
      <c r="E226" s="133" t="s">
        <v>2261</v>
      </c>
      <c r="F226" s="133">
        <v>4</v>
      </c>
      <c r="G226" s="133">
        <v>2.2999999999999998</v>
      </c>
      <c r="H226" s="133">
        <v>5</v>
      </c>
      <c r="I226" s="133">
        <v>0.5</v>
      </c>
      <c r="J226" s="133">
        <v>9.5</v>
      </c>
      <c r="K226" s="133">
        <v>50</v>
      </c>
      <c r="L226" s="133">
        <v>2.8</v>
      </c>
      <c r="M226" s="163">
        <v>108.2</v>
      </c>
      <c r="N226" s="38">
        <f>IF(CNC!C$14&gt;=L226,A226)</f>
        <v>225</v>
      </c>
      <c r="O226" s="25" t="b">
        <f>IF(CNC!C$15=I226,A226)</f>
        <v>0</v>
      </c>
      <c r="P226" s="25" t="b">
        <f>IF(CNC!C$16&lt;=J226,A226)</f>
        <v>0</v>
      </c>
      <c r="Q226" s="25">
        <f>IF(D226=CNC!AR$10,A226)</f>
        <v>225</v>
      </c>
      <c r="R226" s="25" t="b">
        <f t="shared" si="12"/>
        <v>0</v>
      </c>
    </row>
    <row r="227" spans="1:18" ht="17" customHeight="1">
      <c r="A227" s="4">
        <v>226</v>
      </c>
      <c r="B227" s="162">
        <v>6</v>
      </c>
      <c r="C227" s="162">
        <v>2</v>
      </c>
      <c r="D227" s="162">
        <v>1</v>
      </c>
      <c r="E227" s="133" t="s">
        <v>2260</v>
      </c>
      <c r="F227" s="133">
        <v>4</v>
      </c>
      <c r="G227" s="133">
        <v>2.2999999999999998</v>
      </c>
      <c r="H227" s="133">
        <v>5</v>
      </c>
      <c r="I227" s="133">
        <v>0.5</v>
      </c>
      <c r="J227" s="133">
        <v>6.5</v>
      </c>
      <c r="K227" s="133">
        <v>50</v>
      </c>
      <c r="L227" s="133">
        <v>2.8</v>
      </c>
      <c r="M227" s="163">
        <v>98.4</v>
      </c>
      <c r="N227" s="38">
        <f>IF(CNC!C$14&gt;=L227,A227)</f>
        <v>226</v>
      </c>
      <c r="O227" s="25" t="b">
        <f>IF(CNC!C$15=I227,A227)</f>
        <v>0</v>
      </c>
      <c r="P227" s="25" t="b">
        <f>IF(CNC!C$16&lt;=J227,A227)</f>
        <v>0</v>
      </c>
      <c r="Q227" s="25">
        <f>IF(D227=CNC!AR$10,A227)</f>
        <v>226</v>
      </c>
      <c r="R227" s="25" t="b">
        <f t="shared" si="12"/>
        <v>0</v>
      </c>
    </row>
    <row r="228" spans="1:18" ht="17" customHeight="1">
      <c r="A228" s="4">
        <v>227</v>
      </c>
      <c r="B228" s="162">
        <v>6</v>
      </c>
      <c r="C228" s="162">
        <v>2</v>
      </c>
      <c r="D228" s="162">
        <v>1</v>
      </c>
      <c r="E228" s="133" t="s">
        <v>2259</v>
      </c>
      <c r="F228" s="133">
        <v>4</v>
      </c>
      <c r="G228" s="133">
        <v>1.9</v>
      </c>
      <c r="H228" s="133">
        <v>4</v>
      </c>
      <c r="I228" s="133">
        <v>0.45</v>
      </c>
      <c r="J228" s="133">
        <v>8</v>
      </c>
      <c r="K228" s="133">
        <v>50</v>
      </c>
      <c r="L228" s="133">
        <v>2.2999999999999998</v>
      </c>
      <c r="M228" s="163">
        <v>108.2</v>
      </c>
      <c r="N228" s="38">
        <f>IF(CNC!C$14&gt;=L228,A228)</f>
        <v>227</v>
      </c>
      <c r="O228" s="25" t="b">
        <f>IF(CNC!C$15=I228,A228)</f>
        <v>0</v>
      </c>
      <c r="P228" s="25" t="b">
        <f>IF(CNC!C$16&lt;=J228,A228)</f>
        <v>0</v>
      </c>
      <c r="Q228" s="25">
        <f>IF(D228=CNC!AR$10,A228)</f>
        <v>227</v>
      </c>
      <c r="R228" s="25" t="b">
        <f t="shared" si="12"/>
        <v>0</v>
      </c>
    </row>
    <row r="229" spans="1:18" ht="17" customHeight="1">
      <c r="A229" s="4">
        <v>228</v>
      </c>
      <c r="B229" s="162">
        <v>6</v>
      </c>
      <c r="C229" s="162">
        <v>2</v>
      </c>
      <c r="D229" s="162">
        <v>1</v>
      </c>
      <c r="E229" s="133" t="s">
        <v>2258</v>
      </c>
      <c r="F229" s="133">
        <v>4</v>
      </c>
      <c r="G229" s="133">
        <v>1.9</v>
      </c>
      <c r="H229" s="133">
        <v>4</v>
      </c>
      <c r="I229" s="133">
        <v>0.45</v>
      </c>
      <c r="J229" s="133">
        <v>5.5</v>
      </c>
      <c r="K229" s="133">
        <v>50</v>
      </c>
      <c r="L229" s="133">
        <v>2.2999999999999998</v>
      </c>
      <c r="M229" s="163">
        <v>98.4</v>
      </c>
      <c r="N229" s="38">
        <f>IF(CNC!C$14&gt;=L229,A229)</f>
        <v>228</v>
      </c>
      <c r="O229" s="25" t="b">
        <f>IF(CNC!C$15=I229,A229)</f>
        <v>0</v>
      </c>
      <c r="P229" s="25" t="b">
        <f>IF(CNC!C$16&lt;=J229,A229)</f>
        <v>0</v>
      </c>
      <c r="Q229" s="25">
        <f>IF(D229=CNC!AR$10,A229)</f>
        <v>228</v>
      </c>
      <c r="R229" s="25" t="b">
        <f t="shared" si="12"/>
        <v>0</v>
      </c>
    </row>
    <row r="230" spans="1:18" ht="17" customHeight="1">
      <c r="A230" s="4">
        <v>229</v>
      </c>
      <c r="B230" s="162">
        <v>6</v>
      </c>
      <c r="C230" s="162">
        <v>2</v>
      </c>
      <c r="D230" s="162">
        <v>1</v>
      </c>
      <c r="E230" s="133" t="s">
        <v>2257</v>
      </c>
      <c r="F230" s="133">
        <v>4</v>
      </c>
      <c r="G230" s="133">
        <v>1.65</v>
      </c>
      <c r="H230" s="133">
        <v>4</v>
      </c>
      <c r="I230" s="133">
        <v>0.45</v>
      </c>
      <c r="J230" s="133">
        <v>7.1</v>
      </c>
      <c r="K230" s="133">
        <v>50</v>
      </c>
      <c r="L230" s="133">
        <v>2</v>
      </c>
      <c r="M230" s="163">
        <v>108.2</v>
      </c>
      <c r="N230" s="38">
        <f>IF(CNC!C$14&gt;=L230,A230)</f>
        <v>229</v>
      </c>
      <c r="O230" s="25" t="b">
        <f>IF(CNC!C$15=I230,A230)</f>
        <v>0</v>
      </c>
      <c r="P230" s="25" t="b">
        <f>IF(CNC!C$16&lt;=J230,A230)</f>
        <v>0</v>
      </c>
      <c r="Q230" s="25">
        <f>IF(D230=CNC!AR$10,A230)</f>
        <v>229</v>
      </c>
      <c r="R230" s="25" t="b">
        <f t="shared" si="12"/>
        <v>0</v>
      </c>
    </row>
    <row r="231" spans="1:18" ht="17" customHeight="1">
      <c r="A231" s="4">
        <v>230</v>
      </c>
      <c r="B231" s="162">
        <v>6</v>
      </c>
      <c r="C231" s="162">
        <v>2</v>
      </c>
      <c r="D231" s="162">
        <v>1</v>
      </c>
      <c r="E231" s="133" t="s">
        <v>2256</v>
      </c>
      <c r="F231" s="133">
        <v>4</v>
      </c>
      <c r="G231" s="133">
        <v>1.65</v>
      </c>
      <c r="H231" s="133">
        <v>4</v>
      </c>
      <c r="I231" s="133">
        <v>0.45</v>
      </c>
      <c r="J231" s="133">
        <v>5</v>
      </c>
      <c r="K231" s="133">
        <v>50</v>
      </c>
      <c r="L231" s="133">
        <v>2</v>
      </c>
      <c r="M231" s="163">
        <v>98.4</v>
      </c>
      <c r="N231" s="38">
        <f>IF(CNC!C$14&gt;=L231,A231)</f>
        <v>230</v>
      </c>
      <c r="O231" s="25" t="b">
        <f>IF(CNC!C$15=I231,A231)</f>
        <v>0</v>
      </c>
      <c r="P231" s="25" t="b">
        <f>IF(CNC!C$16&lt;=J231,A231)</f>
        <v>0</v>
      </c>
      <c r="Q231" s="25">
        <f>IF(D231=CNC!AR$10,A231)</f>
        <v>230</v>
      </c>
      <c r="R231" s="25" t="b">
        <f t="shared" si="12"/>
        <v>0</v>
      </c>
    </row>
    <row r="232" spans="1:18" ht="17" customHeight="1">
      <c r="A232" s="4">
        <v>231</v>
      </c>
      <c r="B232" s="162">
        <v>6</v>
      </c>
      <c r="C232" s="162">
        <v>2</v>
      </c>
      <c r="D232" s="162">
        <v>1</v>
      </c>
      <c r="E232" s="133" t="s">
        <v>2255</v>
      </c>
      <c r="F232" s="133">
        <v>4</v>
      </c>
      <c r="G232" s="133">
        <v>1.5</v>
      </c>
      <c r="H232" s="133">
        <v>4</v>
      </c>
      <c r="I232" s="133">
        <v>0.4</v>
      </c>
      <c r="J232" s="133">
        <v>6.4</v>
      </c>
      <c r="K232" s="133">
        <v>50</v>
      </c>
      <c r="L232" s="133">
        <v>1.8</v>
      </c>
      <c r="M232" s="163">
        <v>108.2</v>
      </c>
      <c r="N232" s="38">
        <f>IF(CNC!C$14&gt;=L232,A232)</f>
        <v>231</v>
      </c>
      <c r="O232" s="25" t="b">
        <f>IF(CNC!C$15=I232,A232)</f>
        <v>0</v>
      </c>
      <c r="P232" s="25" t="b">
        <f>IF(CNC!C$16&lt;=J232,A232)</f>
        <v>0</v>
      </c>
      <c r="Q232" s="25">
        <f>IF(D232=CNC!AR$10,A232)</f>
        <v>231</v>
      </c>
      <c r="R232" s="25" t="b">
        <f t="shared" si="12"/>
        <v>0</v>
      </c>
    </row>
    <row r="233" spans="1:18" ht="17" customHeight="1">
      <c r="A233" s="4">
        <v>232</v>
      </c>
      <c r="B233" s="162">
        <v>6</v>
      </c>
      <c r="C233" s="162">
        <v>2</v>
      </c>
      <c r="D233" s="162">
        <v>1</v>
      </c>
      <c r="E233" s="133" t="s">
        <v>2254</v>
      </c>
      <c r="F233" s="133">
        <v>4</v>
      </c>
      <c r="G233" s="133">
        <v>1.5</v>
      </c>
      <c r="H233" s="133">
        <v>4</v>
      </c>
      <c r="I233" s="133">
        <v>0.4</v>
      </c>
      <c r="J233" s="133">
        <v>4.4000000000000004</v>
      </c>
      <c r="K233" s="133">
        <v>50</v>
      </c>
      <c r="L233" s="133">
        <v>1.8</v>
      </c>
      <c r="M233" s="163">
        <v>98.4</v>
      </c>
      <c r="N233" s="38">
        <f>IF(CNC!C$14&gt;=L233,A233)</f>
        <v>232</v>
      </c>
      <c r="O233" s="25" t="b">
        <f>IF(CNC!C$15=I233,A233)</f>
        <v>0</v>
      </c>
      <c r="P233" s="25" t="b">
        <f>IF(CNC!C$16&lt;=J233,A233)</f>
        <v>0</v>
      </c>
      <c r="Q233" s="25">
        <f>IF(D233=CNC!AR$10,A233)</f>
        <v>232</v>
      </c>
      <c r="R233" s="25" t="b">
        <f t="shared" si="12"/>
        <v>0</v>
      </c>
    </row>
    <row r="234" spans="1:18" ht="17" customHeight="1">
      <c r="A234" s="4">
        <v>233</v>
      </c>
      <c r="B234" s="162">
        <v>3</v>
      </c>
      <c r="C234" s="162">
        <v>3</v>
      </c>
      <c r="D234" s="162">
        <v>1</v>
      </c>
      <c r="E234" s="133" t="s">
        <v>1987</v>
      </c>
      <c r="F234" s="133">
        <v>14</v>
      </c>
      <c r="G234" s="133">
        <v>9</v>
      </c>
      <c r="H234" s="133">
        <v>3</v>
      </c>
      <c r="I234" s="133">
        <v>1.75</v>
      </c>
      <c r="J234" s="133">
        <v>32.369999999999997</v>
      </c>
      <c r="K234" s="133">
        <v>89</v>
      </c>
      <c r="L234" s="133">
        <v>11.6</v>
      </c>
      <c r="M234" s="163">
        <v>323.3</v>
      </c>
      <c r="N234" s="38" t="b">
        <f>IF(CNC!C$14&gt;=L234,A234)</f>
        <v>0</v>
      </c>
      <c r="O234" s="25" t="b">
        <f>IF(CNC!C$15=I234,A234)</f>
        <v>0</v>
      </c>
      <c r="P234" s="25">
        <f>IF(CNC!C$16&lt;=J234,A234)</f>
        <v>233</v>
      </c>
      <c r="Q234" s="25">
        <f>IF(D234=CNC!AR$10,A234)</f>
        <v>233</v>
      </c>
      <c r="R234" s="25" t="b">
        <f t="shared" si="12"/>
        <v>0</v>
      </c>
    </row>
    <row r="235" spans="1:18" ht="17" customHeight="1">
      <c r="A235" s="4">
        <v>234</v>
      </c>
      <c r="B235" s="162">
        <v>3</v>
      </c>
      <c r="C235" s="162">
        <v>3</v>
      </c>
      <c r="D235" s="162">
        <v>1</v>
      </c>
      <c r="E235" s="133" t="s">
        <v>1988</v>
      </c>
      <c r="F235" s="133">
        <v>14</v>
      </c>
      <c r="G235" s="133">
        <v>9</v>
      </c>
      <c r="H235" s="133">
        <v>3</v>
      </c>
      <c r="I235" s="133">
        <v>1.75</v>
      </c>
      <c r="J235" s="133">
        <v>27.12</v>
      </c>
      <c r="K235" s="133">
        <v>89</v>
      </c>
      <c r="L235" s="133">
        <v>11.6</v>
      </c>
      <c r="M235" s="163">
        <v>294.2</v>
      </c>
      <c r="N235" s="38" t="b">
        <f>IF(CNC!C$14&gt;=L235,A235)</f>
        <v>0</v>
      </c>
      <c r="O235" s="25" t="b">
        <f>IF(CNC!C$15=I235,A235)</f>
        <v>0</v>
      </c>
      <c r="P235" s="25">
        <f>IF(CNC!C$16&lt;=J235,A235)</f>
        <v>234</v>
      </c>
      <c r="Q235" s="25">
        <f>IF(D235=CNC!AR$10,A235)</f>
        <v>234</v>
      </c>
      <c r="R235" s="25" t="b">
        <f t="shared" si="12"/>
        <v>0</v>
      </c>
    </row>
    <row r="236" spans="1:18" ht="17" customHeight="1">
      <c r="A236" s="4">
        <v>235</v>
      </c>
      <c r="B236" s="162">
        <v>3</v>
      </c>
      <c r="C236" s="162">
        <v>3</v>
      </c>
      <c r="D236" s="162">
        <v>1</v>
      </c>
      <c r="E236" s="133" t="s">
        <v>1989</v>
      </c>
      <c r="F236" s="133">
        <v>14</v>
      </c>
      <c r="G236" s="133">
        <v>9</v>
      </c>
      <c r="H236" s="133">
        <v>3</v>
      </c>
      <c r="I236" s="133">
        <v>1.75</v>
      </c>
      <c r="J236" s="133">
        <v>20.12</v>
      </c>
      <c r="K236" s="133">
        <v>89</v>
      </c>
      <c r="L236" s="133">
        <v>11.6</v>
      </c>
      <c r="M236" s="163">
        <v>267.39999999999998</v>
      </c>
      <c r="N236" s="38" t="b">
        <f>IF(CNC!C$14&gt;=L236,A236)</f>
        <v>0</v>
      </c>
      <c r="O236" s="25" t="b">
        <f>IF(CNC!C$15=I236,A236)</f>
        <v>0</v>
      </c>
      <c r="P236" s="25">
        <f>IF(CNC!C$16&lt;=J236,A236)</f>
        <v>235</v>
      </c>
      <c r="Q236" s="25">
        <f>IF(D236=CNC!AR$10,A236)</f>
        <v>235</v>
      </c>
      <c r="R236" s="25" t="b">
        <f t="shared" si="12"/>
        <v>0</v>
      </c>
    </row>
    <row r="237" spans="1:18" ht="17" customHeight="1">
      <c r="A237" s="4">
        <v>236</v>
      </c>
      <c r="B237" s="162">
        <v>3</v>
      </c>
      <c r="C237" s="162">
        <v>3</v>
      </c>
      <c r="D237" s="162">
        <v>1</v>
      </c>
      <c r="E237" s="133" t="s">
        <v>1990</v>
      </c>
      <c r="F237" s="133">
        <v>12</v>
      </c>
      <c r="G237" s="133">
        <v>7.5</v>
      </c>
      <c r="H237" s="133">
        <v>3</v>
      </c>
      <c r="I237" s="133">
        <v>1.5</v>
      </c>
      <c r="J237" s="133">
        <v>27.75</v>
      </c>
      <c r="K237" s="133">
        <v>83</v>
      </c>
      <c r="L237" s="133">
        <v>9.6</v>
      </c>
      <c r="M237" s="163">
        <v>271.39999999999998</v>
      </c>
      <c r="N237" s="38">
        <f>IF(CNC!C$14&gt;=L237,A237)</f>
        <v>236</v>
      </c>
      <c r="O237" s="25">
        <f>IF(CNC!C$15=I237,A237)</f>
        <v>236</v>
      </c>
      <c r="P237" s="25">
        <f>IF(CNC!C$16&lt;=J237,A237)</f>
        <v>236</v>
      </c>
      <c r="Q237" s="25">
        <f>IF(D237=CNC!AR$10,A237)</f>
        <v>236</v>
      </c>
      <c r="R237" s="25">
        <f t="shared" si="12"/>
        <v>236</v>
      </c>
    </row>
    <row r="238" spans="1:18" ht="17" customHeight="1">
      <c r="A238" s="4">
        <v>237</v>
      </c>
      <c r="B238" s="162">
        <v>3</v>
      </c>
      <c r="C238" s="162">
        <v>3</v>
      </c>
      <c r="D238" s="162">
        <v>1</v>
      </c>
      <c r="E238" s="133" t="s">
        <v>1991</v>
      </c>
      <c r="F238" s="133">
        <v>12</v>
      </c>
      <c r="G238" s="133">
        <v>7.5</v>
      </c>
      <c r="H238" s="133">
        <v>3</v>
      </c>
      <c r="I238" s="133">
        <v>1.5</v>
      </c>
      <c r="J238" s="133">
        <v>21.75</v>
      </c>
      <c r="K238" s="133">
        <v>83</v>
      </c>
      <c r="L238" s="133">
        <v>9.6</v>
      </c>
      <c r="M238" s="163">
        <v>246.9</v>
      </c>
      <c r="N238" s="38">
        <f>IF(CNC!C$14&gt;=L238,A238)</f>
        <v>237</v>
      </c>
      <c r="O238" s="25">
        <f>IF(CNC!C$15=I238,A238)</f>
        <v>237</v>
      </c>
      <c r="P238" s="25">
        <f>IF(CNC!C$16&lt;=J238,A238)</f>
        <v>237</v>
      </c>
      <c r="Q238" s="25">
        <f>IF(D238=CNC!AR$10,A238)</f>
        <v>237</v>
      </c>
      <c r="R238" s="25">
        <f t="shared" si="12"/>
        <v>237</v>
      </c>
    </row>
    <row r="239" spans="1:18" ht="17" customHeight="1">
      <c r="A239" s="4">
        <v>238</v>
      </c>
      <c r="B239" s="162">
        <v>3</v>
      </c>
      <c r="C239" s="162">
        <v>3</v>
      </c>
      <c r="D239" s="162">
        <v>1</v>
      </c>
      <c r="E239" s="133" t="s">
        <v>1992</v>
      </c>
      <c r="F239" s="133">
        <v>12</v>
      </c>
      <c r="G239" s="133">
        <v>7.5</v>
      </c>
      <c r="H239" s="133">
        <v>3</v>
      </c>
      <c r="I239" s="133">
        <v>1.5</v>
      </c>
      <c r="J239" s="133">
        <v>17.25</v>
      </c>
      <c r="K239" s="133">
        <v>83</v>
      </c>
      <c r="L239" s="133">
        <v>9.6</v>
      </c>
      <c r="M239" s="163">
        <v>224.2</v>
      </c>
      <c r="N239" s="38">
        <f>IF(CNC!C$14&gt;=L239,A239)</f>
        <v>238</v>
      </c>
      <c r="O239" s="25">
        <f>IF(CNC!C$15=I239,A239)</f>
        <v>238</v>
      </c>
      <c r="P239" s="25" t="b">
        <f>IF(CNC!C$16&lt;=J239,A239)</f>
        <v>0</v>
      </c>
      <c r="Q239" s="25">
        <f>IF(D239=CNC!AR$10,A239)</f>
        <v>238</v>
      </c>
      <c r="R239" s="25" t="b">
        <f t="shared" si="12"/>
        <v>0</v>
      </c>
    </row>
    <row r="240" spans="1:18" ht="17" customHeight="1">
      <c r="A240" s="4">
        <v>239</v>
      </c>
      <c r="B240" s="162">
        <v>3</v>
      </c>
      <c r="C240" s="162">
        <v>3</v>
      </c>
      <c r="D240" s="162">
        <v>1</v>
      </c>
      <c r="E240" s="133" t="s">
        <v>1993</v>
      </c>
      <c r="F240" s="133">
        <v>10</v>
      </c>
      <c r="G240" s="133">
        <v>6</v>
      </c>
      <c r="H240" s="133">
        <v>3</v>
      </c>
      <c r="I240" s="133">
        <v>1.25</v>
      </c>
      <c r="J240" s="133">
        <v>21.87</v>
      </c>
      <c r="K240" s="133">
        <v>76</v>
      </c>
      <c r="L240" s="133">
        <v>7.8</v>
      </c>
      <c r="M240" s="163">
        <v>245.7</v>
      </c>
      <c r="N240" s="38">
        <f>IF(CNC!C$14&gt;=L240,A240)</f>
        <v>239</v>
      </c>
      <c r="O240" s="25" t="b">
        <f>IF(CNC!C$15=I240,A240)</f>
        <v>0</v>
      </c>
      <c r="P240" s="25">
        <f>IF(CNC!C$16&lt;=J240,A240)</f>
        <v>239</v>
      </c>
      <c r="Q240" s="25">
        <f>IF(D240=CNC!AR$10,A240)</f>
        <v>239</v>
      </c>
      <c r="R240" s="25" t="b">
        <f t="shared" si="12"/>
        <v>0</v>
      </c>
    </row>
    <row r="241" spans="1:18" ht="17" customHeight="1">
      <c r="A241" s="4">
        <v>240</v>
      </c>
      <c r="B241" s="162">
        <v>3</v>
      </c>
      <c r="C241" s="162">
        <v>3</v>
      </c>
      <c r="D241" s="162">
        <v>1</v>
      </c>
      <c r="E241" s="133" t="s">
        <v>1994</v>
      </c>
      <c r="F241" s="133">
        <v>10</v>
      </c>
      <c r="G241" s="133">
        <v>6</v>
      </c>
      <c r="H241" s="133">
        <v>3</v>
      </c>
      <c r="I241" s="133">
        <v>1.25</v>
      </c>
      <c r="J241" s="133">
        <v>18.12</v>
      </c>
      <c r="K241" s="133">
        <v>76</v>
      </c>
      <c r="L241" s="133">
        <v>7.8</v>
      </c>
      <c r="M241" s="163">
        <v>223.2</v>
      </c>
      <c r="N241" s="38">
        <f>IF(CNC!C$14&gt;=L241,A241)</f>
        <v>240</v>
      </c>
      <c r="O241" s="25" t="b">
        <f>IF(CNC!C$15=I241,A241)</f>
        <v>0</v>
      </c>
      <c r="P241" s="25" t="b">
        <f>IF(CNC!C$16&lt;=J241,A241)</f>
        <v>0</v>
      </c>
      <c r="Q241" s="25">
        <f>IF(D241=CNC!AR$10,A241)</f>
        <v>240</v>
      </c>
      <c r="R241" s="25" t="b">
        <f t="shared" si="12"/>
        <v>0</v>
      </c>
    </row>
    <row r="242" spans="1:18" ht="17" customHeight="1">
      <c r="A242" s="4">
        <v>241</v>
      </c>
      <c r="B242" s="162">
        <v>3</v>
      </c>
      <c r="C242" s="162">
        <v>3</v>
      </c>
      <c r="D242" s="162">
        <v>1</v>
      </c>
      <c r="E242" s="133" t="s">
        <v>1995</v>
      </c>
      <c r="F242" s="133">
        <v>10</v>
      </c>
      <c r="G242" s="133">
        <v>6</v>
      </c>
      <c r="H242" s="133">
        <v>3</v>
      </c>
      <c r="I242" s="133">
        <v>1.25</v>
      </c>
      <c r="J242" s="133">
        <v>14.37</v>
      </c>
      <c r="K242" s="133">
        <v>76</v>
      </c>
      <c r="L242" s="133">
        <v>7.8</v>
      </c>
      <c r="M242" s="163">
        <v>203</v>
      </c>
      <c r="N242" s="38">
        <f>IF(CNC!C$14&gt;=L242,A242)</f>
        <v>241</v>
      </c>
      <c r="O242" s="25" t="b">
        <f>IF(CNC!C$15=I242,A242)</f>
        <v>0</v>
      </c>
      <c r="P242" s="25" t="b">
        <f>IF(CNC!C$16&lt;=J242,A242)</f>
        <v>0</v>
      </c>
      <c r="Q242" s="25">
        <f>IF(D242=CNC!AR$10,A242)</f>
        <v>241</v>
      </c>
      <c r="R242" s="25" t="b">
        <f t="shared" si="12"/>
        <v>0</v>
      </c>
    </row>
    <row r="243" spans="1:18" ht="17" customHeight="1">
      <c r="A243" s="4">
        <v>242</v>
      </c>
      <c r="B243" s="162">
        <v>3</v>
      </c>
      <c r="C243" s="162">
        <v>3</v>
      </c>
      <c r="D243" s="162">
        <v>1</v>
      </c>
      <c r="E243" s="133" t="s">
        <v>1996</v>
      </c>
      <c r="F243" s="133">
        <v>8</v>
      </c>
      <c r="G243" s="133">
        <v>4.5</v>
      </c>
      <c r="H243" s="133">
        <v>3</v>
      </c>
      <c r="I243" s="133">
        <v>1</v>
      </c>
      <c r="J243" s="133">
        <v>16.5</v>
      </c>
      <c r="K243" s="133">
        <v>63</v>
      </c>
      <c r="L243" s="133">
        <v>5.8</v>
      </c>
      <c r="M243" s="163">
        <v>212.2</v>
      </c>
      <c r="N243" s="38">
        <f>IF(CNC!C$14&gt;=L243,A243)</f>
        <v>242</v>
      </c>
      <c r="O243" s="25" t="b">
        <f>IF(CNC!C$15=I243,A243)</f>
        <v>0</v>
      </c>
      <c r="P243" s="25" t="b">
        <f>IF(CNC!C$16&lt;=J243,A243)</f>
        <v>0</v>
      </c>
      <c r="Q243" s="25">
        <f>IF(D243=CNC!AR$10,A243)</f>
        <v>242</v>
      </c>
      <c r="R243" s="25" t="b">
        <f t="shared" si="12"/>
        <v>0</v>
      </c>
    </row>
    <row r="244" spans="1:18" ht="17" customHeight="1">
      <c r="A244" s="4">
        <v>243</v>
      </c>
      <c r="B244" s="162">
        <v>3</v>
      </c>
      <c r="C244" s="162">
        <v>3</v>
      </c>
      <c r="D244" s="162">
        <v>1</v>
      </c>
      <c r="E244" s="133" t="s">
        <v>1997</v>
      </c>
      <c r="F244" s="133">
        <v>8</v>
      </c>
      <c r="G244" s="133">
        <v>4.5</v>
      </c>
      <c r="H244" s="133">
        <v>3</v>
      </c>
      <c r="I244" s="133">
        <v>1</v>
      </c>
      <c r="J244" s="133">
        <v>13.5</v>
      </c>
      <c r="K244" s="133">
        <v>63</v>
      </c>
      <c r="L244" s="133">
        <v>5.8</v>
      </c>
      <c r="M244" s="163">
        <v>192.9</v>
      </c>
      <c r="N244" s="38">
        <f>IF(CNC!C$14&gt;=L244,A244)</f>
        <v>243</v>
      </c>
      <c r="O244" s="25" t="b">
        <f>IF(CNC!C$15=I244,A244)</f>
        <v>0</v>
      </c>
      <c r="P244" s="25" t="b">
        <f>IF(CNC!C$16&lt;=J244,A244)</f>
        <v>0</v>
      </c>
      <c r="Q244" s="25">
        <f>IF(D244=CNC!AR$10,A244)</f>
        <v>243</v>
      </c>
      <c r="R244" s="25" t="b">
        <f t="shared" si="12"/>
        <v>0</v>
      </c>
    </row>
    <row r="245" spans="1:18" ht="17" customHeight="1">
      <c r="A245" s="4">
        <v>244</v>
      </c>
      <c r="B245" s="162">
        <v>3</v>
      </c>
      <c r="C245" s="162">
        <v>3</v>
      </c>
      <c r="D245" s="162">
        <v>1</v>
      </c>
      <c r="E245" s="133" t="s">
        <v>1998</v>
      </c>
      <c r="F245" s="133">
        <v>8</v>
      </c>
      <c r="G245" s="133">
        <v>4.5</v>
      </c>
      <c r="H245" s="133">
        <v>3</v>
      </c>
      <c r="I245" s="133">
        <v>1</v>
      </c>
      <c r="J245" s="133">
        <v>10.5</v>
      </c>
      <c r="K245" s="133">
        <v>63</v>
      </c>
      <c r="L245" s="133">
        <v>5.8</v>
      </c>
      <c r="M245" s="163">
        <v>175.2</v>
      </c>
      <c r="N245" s="38">
        <f>IF(CNC!C$14&gt;=L245,A245)</f>
        <v>244</v>
      </c>
      <c r="O245" s="25" t="b">
        <f>IF(CNC!C$15=I245,A245)</f>
        <v>0</v>
      </c>
      <c r="P245" s="25" t="b">
        <f>IF(CNC!C$16&lt;=J245,A245)</f>
        <v>0</v>
      </c>
      <c r="Q245" s="25">
        <f>IF(D245=CNC!AR$10,A245)</f>
        <v>244</v>
      </c>
      <c r="R245" s="25" t="b">
        <f t="shared" si="12"/>
        <v>0</v>
      </c>
    </row>
    <row r="246" spans="1:18" ht="17" customHeight="1">
      <c r="A246" s="4">
        <v>245</v>
      </c>
      <c r="B246" s="162">
        <v>3</v>
      </c>
      <c r="C246" s="162">
        <v>3</v>
      </c>
      <c r="D246" s="162">
        <v>1</v>
      </c>
      <c r="E246" s="133" t="s">
        <v>1999</v>
      </c>
      <c r="F246" s="133">
        <v>6</v>
      </c>
      <c r="G246" s="133">
        <v>3</v>
      </c>
      <c r="H246" s="133">
        <v>3</v>
      </c>
      <c r="I246" s="133">
        <v>0.7</v>
      </c>
      <c r="J246" s="133">
        <v>8.75</v>
      </c>
      <c r="K246" s="133">
        <v>63</v>
      </c>
      <c r="L246" s="133">
        <v>3.8</v>
      </c>
      <c r="M246" s="163">
        <v>163.30000000000001</v>
      </c>
      <c r="N246" s="38">
        <f>IF(CNC!C$14&gt;=L246,A246)</f>
        <v>245</v>
      </c>
      <c r="O246" s="25" t="b">
        <f>IF(CNC!C$15=I246,A246)</f>
        <v>0</v>
      </c>
      <c r="P246" s="25" t="b">
        <f>IF(CNC!C$16&lt;=J246,A246)</f>
        <v>0</v>
      </c>
      <c r="Q246" s="25">
        <f>IF(D246=CNC!AR$10,A246)</f>
        <v>245</v>
      </c>
      <c r="R246" s="25" t="b">
        <f t="shared" si="12"/>
        <v>0</v>
      </c>
    </row>
    <row r="247" spans="1:18" ht="17" customHeight="1">
      <c r="A247" s="4">
        <v>246</v>
      </c>
      <c r="B247" s="162">
        <v>3</v>
      </c>
      <c r="C247" s="162">
        <v>3</v>
      </c>
      <c r="D247" s="162">
        <v>1</v>
      </c>
      <c r="E247" s="133" t="s">
        <v>2000</v>
      </c>
      <c r="F247" s="133">
        <v>6</v>
      </c>
      <c r="G247" s="133">
        <v>3</v>
      </c>
      <c r="H247" s="133">
        <v>3</v>
      </c>
      <c r="I247" s="133">
        <v>0.7</v>
      </c>
      <c r="J247" s="133">
        <v>7.35</v>
      </c>
      <c r="K247" s="133">
        <v>63</v>
      </c>
      <c r="L247" s="133">
        <v>3.8</v>
      </c>
      <c r="M247" s="163">
        <v>148.4</v>
      </c>
      <c r="N247" s="38">
        <f>IF(CNC!C$14&gt;=L247,A247)</f>
        <v>246</v>
      </c>
      <c r="O247" s="25" t="b">
        <f>IF(CNC!C$15=I247,A247)</f>
        <v>0</v>
      </c>
      <c r="P247" s="25" t="b">
        <f>IF(CNC!C$16&lt;=J247,A247)</f>
        <v>0</v>
      </c>
      <c r="Q247" s="25">
        <f>IF(D247=CNC!AR$10,A247)</f>
        <v>246</v>
      </c>
      <c r="R247" s="25" t="b">
        <f t="shared" si="12"/>
        <v>0</v>
      </c>
    </row>
    <row r="248" spans="1:18" ht="17" customHeight="1">
      <c r="A248" s="4">
        <v>247</v>
      </c>
      <c r="B248" s="162">
        <v>3</v>
      </c>
      <c r="C248" s="162">
        <v>3</v>
      </c>
      <c r="D248" s="162">
        <v>1</v>
      </c>
      <c r="E248" s="133" t="s">
        <v>2001</v>
      </c>
      <c r="F248" s="133">
        <v>6</v>
      </c>
      <c r="G248" s="133">
        <v>3</v>
      </c>
      <c r="H248" s="133">
        <v>3</v>
      </c>
      <c r="I248" s="133">
        <v>0.7</v>
      </c>
      <c r="J248" s="133">
        <v>12.95</v>
      </c>
      <c r="K248" s="133">
        <v>63</v>
      </c>
      <c r="L248" s="133">
        <v>3.8</v>
      </c>
      <c r="M248" s="163">
        <v>197.5</v>
      </c>
      <c r="N248" s="38">
        <f>IF(CNC!C$14&gt;=L248,A248)</f>
        <v>247</v>
      </c>
      <c r="O248" s="25" t="b">
        <f>IF(CNC!C$15=I248,A248)</f>
        <v>0</v>
      </c>
      <c r="P248" s="25" t="b">
        <f>IF(CNC!C$16&lt;=J248,A248)</f>
        <v>0</v>
      </c>
      <c r="Q248" s="25">
        <f>IF(D248=CNC!AR$10,A248)</f>
        <v>247</v>
      </c>
      <c r="R248" s="25" t="b">
        <f t="shared" si="12"/>
        <v>0</v>
      </c>
    </row>
    <row r="249" spans="1:18" ht="17" customHeight="1">
      <c r="A249" s="4">
        <v>248</v>
      </c>
      <c r="B249" s="162">
        <v>3</v>
      </c>
      <c r="C249" s="162">
        <v>3</v>
      </c>
      <c r="D249" s="162">
        <v>1</v>
      </c>
      <c r="E249" s="133" t="s">
        <v>2002</v>
      </c>
      <c r="F249" s="133">
        <v>6</v>
      </c>
      <c r="G249" s="133">
        <v>3</v>
      </c>
      <c r="H249" s="133">
        <v>3</v>
      </c>
      <c r="I249" s="133">
        <v>0.7</v>
      </c>
      <c r="J249" s="133">
        <v>10.85</v>
      </c>
      <c r="K249" s="133">
        <v>63</v>
      </c>
      <c r="L249" s="133">
        <v>3.8</v>
      </c>
      <c r="M249" s="163">
        <v>179.5</v>
      </c>
      <c r="N249" s="38">
        <f>IF(CNC!C$14&gt;=L249,A249)</f>
        <v>248</v>
      </c>
      <c r="O249" s="25" t="b">
        <f>IF(CNC!C$15=I249,A249)</f>
        <v>0</v>
      </c>
      <c r="P249" s="25" t="b">
        <f>IF(CNC!C$16&lt;=J249,A249)</f>
        <v>0</v>
      </c>
      <c r="Q249" s="25">
        <f>IF(D249=CNC!AR$10,A249)</f>
        <v>248</v>
      </c>
      <c r="R249" s="25" t="b">
        <f t="shared" si="12"/>
        <v>0</v>
      </c>
    </row>
    <row r="250" spans="1:18" ht="17" customHeight="1">
      <c r="A250" s="4">
        <v>249</v>
      </c>
      <c r="B250" s="162">
        <v>3</v>
      </c>
      <c r="C250" s="162">
        <v>3</v>
      </c>
      <c r="D250" s="162">
        <v>1</v>
      </c>
      <c r="E250" s="133" t="s">
        <v>2003</v>
      </c>
      <c r="F250" s="133">
        <v>6</v>
      </c>
      <c r="G250" s="133">
        <v>3.8</v>
      </c>
      <c r="H250" s="133">
        <v>3</v>
      </c>
      <c r="I250" s="133">
        <v>0.8</v>
      </c>
      <c r="J250" s="133">
        <v>8.4</v>
      </c>
      <c r="K250" s="133">
        <v>63</v>
      </c>
      <c r="L250" s="133">
        <v>4.8</v>
      </c>
      <c r="M250" s="163">
        <v>148.4</v>
      </c>
      <c r="N250" s="38">
        <f>IF(CNC!C$14&gt;=L250,A250)</f>
        <v>249</v>
      </c>
      <c r="O250" s="25" t="b">
        <f>IF(CNC!C$15=I250,A250)</f>
        <v>0</v>
      </c>
      <c r="P250" s="25" t="b">
        <f>IF(CNC!C$16&lt;=J250,A250)</f>
        <v>0</v>
      </c>
      <c r="Q250" s="25">
        <f>IF(D250=CNC!AR$10,A250)</f>
        <v>249</v>
      </c>
      <c r="R250" s="25" t="b">
        <f t="shared" si="12"/>
        <v>0</v>
      </c>
    </row>
    <row r="251" spans="1:18" ht="17" customHeight="1">
      <c r="A251" s="4">
        <v>250</v>
      </c>
      <c r="B251" s="162">
        <v>3</v>
      </c>
      <c r="C251" s="162">
        <v>3</v>
      </c>
      <c r="D251" s="162">
        <v>1</v>
      </c>
      <c r="E251" s="133" t="s">
        <v>2004</v>
      </c>
      <c r="F251" s="133">
        <v>6</v>
      </c>
      <c r="G251" s="133">
        <v>3.8</v>
      </c>
      <c r="H251" s="133">
        <v>3</v>
      </c>
      <c r="I251" s="133">
        <v>0.8</v>
      </c>
      <c r="J251" s="133">
        <v>16.399999999999999</v>
      </c>
      <c r="K251" s="133">
        <v>63</v>
      </c>
      <c r="L251" s="133">
        <v>4.8</v>
      </c>
      <c r="M251" s="163">
        <v>197.5</v>
      </c>
      <c r="N251" s="38">
        <f>IF(CNC!C$14&gt;=L251,A251)</f>
        <v>250</v>
      </c>
      <c r="O251" s="25" t="b">
        <f>IF(CNC!C$15=I251,A251)</f>
        <v>0</v>
      </c>
      <c r="P251" s="25" t="b">
        <f>IF(CNC!C$16&lt;=J251,A251)</f>
        <v>0</v>
      </c>
      <c r="Q251" s="25">
        <f>IF(D251=CNC!AR$10,A251)</f>
        <v>250</v>
      </c>
      <c r="R251" s="25" t="b">
        <f t="shared" si="12"/>
        <v>0</v>
      </c>
    </row>
    <row r="252" spans="1:18" ht="17" customHeight="1">
      <c r="A252" s="4">
        <v>251</v>
      </c>
      <c r="B252" s="162">
        <v>3</v>
      </c>
      <c r="C252" s="162">
        <v>3</v>
      </c>
      <c r="D252" s="162">
        <v>1</v>
      </c>
      <c r="E252" s="133" t="s">
        <v>2005</v>
      </c>
      <c r="F252" s="133">
        <v>6</v>
      </c>
      <c r="G252" s="133">
        <v>3.8</v>
      </c>
      <c r="H252" s="133">
        <v>3</v>
      </c>
      <c r="I252" s="133">
        <v>0.8</v>
      </c>
      <c r="J252" s="133">
        <v>13.2</v>
      </c>
      <c r="K252" s="133">
        <v>63</v>
      </c>
      <c r="L252" s="133">
        <v>4.8</v>
      </c>
      <c r="M252" s="163">
        <v>179.5</v>
      </c>
      <c r="N252" s="38">
        <f>IF(CNC!C$14&gt;=L252,A252)</f>
        <v>251</v>
      </c>
      <c r="O252" s="25" t="b">
        <f>IF(CNC!C$15=I252,A252)</f>
        <v>0</v>
      </c>
      <c r="P252" s="25" t="b">
        <f>IF(CNC!C$16&lt;=J252,A252)</f>
        <v>0</v>
      </c>
      <c r="Q252" s="25">
        <f>IF(D252=CNC!AR$10,A252)</f>
        <v>251</v>
      </c>
      <c r="R252" s="25" t="b">
        <f t="shared" si="12"/>
        <v>0</v>
      </c>
    </row>
    <row r="253" spans="1:18" ht="17" customHeight="1">
      <c r="A253" s="4">
        <v>252</v>
      </c>
      <c r="B253" s="162">
        <v>3</v>
      </c>
      <c r="C253" s="162">
        <v>3</v>
      </c>
      <c r="D253" s="162">
        <v>1</v>
      </c>
      <c r="E253" s="133" t="s">
        <v>2006</v>
      </c>
      <c r="F253" s="133">
        <v>6</v>
      </c>
      <c r="G253" s="133">
        <v>3.8</v>
      </c>
      <c r="H253" s="133">
        <v>3</v>
      </c>
      <c r="I253" s="133">
        <v>0.8</v>
      </c>
      <c r="J253" s="133">
        <v>10.8</v>
      </c>
      <c r="K253" s="133">
        <v>63</v>
      </c>
      <c r="L253" s="133">
        <v>4.8</v>
      </c>
      <c r="M253" s="163">
        <v>163.30000000000001</v>
      </c>
      <c r="N253" s="38">
        <f>IF(CNC!C$14&gt;=L253,A253)</f>
        <v>252</v>
      </c>
      <c r="O253" s="25" t="b">
        <f>IF(CNC!C$15=I253,A253)</f>
        <v>0</v>
      </c>
      <c r="P253" s="25" t="b">
        <f>IF(CNC!C$16&lt;=J253,A253)</f>
        <v>0</v>
      </c>
      <c r="Q253" s="25">
        <f>IF(D253=CNC!AR$10,A253)</f>
        <v>252</v>
      </c>
      <c r="R253" s="25" t="b">
        <f t="shared" si="12"/>
        <v>0</v>
      </c>
    </row>
    <row r="254" spans="1:18" ht="17" customHeight="1">
      <c r="A254" s="4">
        <v>253</v>
      </c>
      <c r="B254" s="162">
        <v>3</v>
      </c>
      <c r="C254" s="162">
        <v>3</v>
      </c>
      <c r="D254" s="162">
        <v>1</v>
      </c>
      <c r="E254" s="133" t="s">
        <v>2007</v>
      </c>
      <c r="F254" s="133">
        <v>6</v>
      </c>
      <c r="G254" s="133">
        <v>2.2999999999999998</v>
      </c>
      <c r="H254" s="133">
        <v>3</v>
      </c>
      <c r="I254" s="133">
        <v>0.5</v>
      </c>
      <c r="J254" s="133">
        <v>9.75</v>
      </c>
      <c r="K254" s="133">
        <v>63</v>
      </c>
      <c r="L254" s="133">
        <v>2.8</v>
      </c>
      <c r="M254" s="163">
        <v>197.5</v>
      </c>
      <c r="N254" s="38">
        <f>IF(CNC!C$14&gt;=L254,A254)</f>
        <v>253</v>
      </c>
      <c r="O254" s="25" t="b">
        <f>IF(CNC!C$15=I254,A254)</f>
        <v>0</v>
      </c>
      <c r="P254" s="25" t="b">
        <f>IF(CNC!C$16&lt;=J254,A254)</f>
        <v>0</v>
      </c>
      <c r="Q254" s="25">
        <f>IF(D254=CNC!AR$10,A254)</f>
        <v>253</v>
      </c>
      <c r="R254" s="25" t="b">
        <f t="shared" si="12"/>
        <v>0</v>
      </c>
    </row>
    <row r="255" spans="1:18" ht="17" customHeight="1">
      <c r="A255" s="4">
        <v>254</v>
      </c>
      <c r="B255" s="162">
        <v>3</v>
      </c>
      <c r="C255" s="162">
        <v>3</v>
      </c>
      <c r="D255" s="162">
        <v>1</v>
      </c>
      <c r="E255" s="133" t="s">
        <v>2008</v>
      </c>
      <c r="F255" s="133">
        <v>6</v>
      </c>
      <c r="G255" s="133">
        <v>2.2999999999999998</v>
      </c>
      <c r="H255" s="133">
        <v>3</v>
      </c>
      <c r="I255" s="133">
        <v>0.5</v>
      </c>
      <c r="J255" s="133">
        <v>8.25</v>
      </c>
      <c r="K255" s="133">
        <v>63</v>
      </c>
      <c r="L255" s="133">
        <v>2.8</v>
      </c>
      <c r="M255" s="163">
        <v>179.5</v>
      </c>
      <c r="N255" s="38">
        <f>IF(CNC!C$14&gt;=L255,A255)</f>
        <v>254</v>
      </c>
      <c r="O255" s="25" t="b">
        <f>IF(CNC!C$15=I255,A255)</f>
        <v>0</v>
      </c>
      <c r="P255" s="25" t="b">
        <f>IF(CNC!C$16&lt;=J255,A255)</f>
        <v>0</v>
      </c>
      <c r="Q255" s="25">
        <f>IF(D255=CNC!AR$10,A255)</f>
        <v>254</v>
      </c>
      <c r="R255" s="25" t="b">
        <f t="shared" si="12"/>
        <v>0</v>
      </c>
    </row>
    <row r="256" spans="1:18" ht="17" customHeight="1">
      <c r="A256" s="4">
        <v>255</v>
      </c>
      <c r="B256" s="162">
        <v>3</v>
      </c>
      <c r="C256" s="162">
        <v>3</v>
      </c>
      <c r="D256" s="162">
        <v>1</v>
      </c>
      <c r="E256" s="133" t="s">
        <v>2009</v>
      </c>
      <c r="F256" s="133">
        <v>6</v>
      </c>
      <c r="G256" s="133">
        <v>2.2999999999999998</v>
      </c>
      <c r="H256" s="133">
        <v>3</v>
      </c>
      <c r="I256" s="133">
        <v>0.5</v>
      </c>
      <c r="J256" s="133">
        <v>6.75</v>
      </c>
      <c r="K256" s="133">
        <v>63</v>
      </c>
      <c r="L256" s="133">
        <v>2.8</v>
      </c>
      <c r="M256" s="163">
        <v>163.30000000000001</v>
      </c>
      <c r="N256" s="38">
        <f>IF(CNC!C$14&gt;=L256,A256)</f>
        <v>255</v>
      </c>
      <c r="O256" s="25" t="b">
        <f>IF(CNC!C$15=I256,A256)</f>
        <v>0</v>
      </c>
      <c r="P256" s="25" t="b">
        <f>IF(CNC!C$16&lt;=J256,A256)</f>
        <v>0</v>
      </c>
      <c r="Q256" s="25">
        <f>IF(D256=CNC!AR$10,A256)</f>
        <v>255</v>
      </c>
      <c r="R256" s="25" t="b">
        <f t="shared" si="12"/>
        <v>0</v>
      </c>
    </row>
    <row r="257" spans="1:18" ht="17" customHeight="1">
      <c r="A257" s="4">
        <v>256</v>
      </c>
      <c r="B257" s="162">
        <v>3</v>
      </c>
      <c r="C257" s="162">
        <v>3</v>
      </c>
      <c r="D257" s="162">
        <v>1</v>
      </c>
      <c r="E257" s="133" t="s">
        <v>2010</v>
      </c>
      <c r="F257" s="133">
        <v>6</v>
      </c>
      <c r="G257" s="133">
        <v>2.2999999999999998</v>
      </c>
      <c r="H257" s="133">
        <v>3</v>
      </c>
      <c r="I257" s="133">
        <v>0.5</v>
      </c>
      <c r="J257" s="133">
        <v>5.25</v>
      </c>
      <c r="K257" s="133">
        <v>63</v>
      </c>
      <c r="L257" s="133">
        <v>2.8</v>
      </c>
      <c r="M257" s="163">
        <v>148.4</v>
      </c>
      <c r="N257" s="38">
        <f>IF(CNC!C$14&gt;=L257,A257)</f>
        <v>256</v>
      </c>
      <c r="O257" s="25" t="b">
        <f>IF(CNC!C$15=I257,A257)</f>
        <v>0</v>
      </c>
      <c r="P257" s="25" t="b">
        <f>IF(CNC!C$16&lt;=J257,A257)</f>
        <v>0</v>
      </c>
      <c r="Q257" s="25">
        <f>IF(D257=CNC!AR$10,A257)</f>
        <v>256</v>
      </c>
      <c r="R257" s="25" t="b">
        <f t="shared" ref="R257:R311" si="13">IF(N257=FALSE,FALSE,IF(O257=FALSE,FALSE,IF(P257=FALSE,FALSE,IF(Q257=FALSE,FALSE,A257))))</f>
        <v>0</v>
      </c>
    </row>
    <row r="258" spans="1:18" ht="17" customHeight="1">
      <c r="A258" s="4">
        <v>257</v>
      </c>
      <c r="B258" s="162">
        <v>7</v>
      </c>
      <c r="C258" s="162">
        <v>1</v>
      </c>
      <c r="D258" s="162">
        <v>1</v>
      </c>
      <c r="E258" s="133" t="s">
        <v>2011</v>
      </c>
      <c r="F258" s="133">
        <v>16</v>
      </c>
      <c r="G258" s="133">
        <v>16</v>
      </c>
      <c r="H258" s="133">
        <v>5</v>
      </c>
      <c r="I258" s="133">
        <v>2</v>
      </c>
      <c r="J258" s="133">
        <v>39</v>
      </c>
      <c r="K258" s="133">
        <v>100</v>
      </c>
      <c r="L258" s="133">
        <v>19.600000000000001</v>
      </c>
      <c r="M258" s="163">
        <v>532.4</v>
      </c>
      <c r="N258" s="38" t="b">
        <f>IF(CNC!C$14&gt;=L258,A258)</f>
        <v>0</v>
      </c>
      <c r="O258" s="25" t="b">
        <f>IF(CNC!C$15=I258,A258)</f>
        <v>0</v>
      </c>
      <c r="P258" s="25">
        <f>IF(CNC!C$16&lt;=J258,A258)</f>
        <v>257</v>
      </c>
      <c r="Q258" s="25">
        <f>IF(D258=CNC!AR$10,A258)</f>
        <v>257</v>
      </c>
      <c r="R258" s="25" t="b">
        <f t="shared" si="13"/>
        <v>0</v>
      </c>
    </row>
    <row r="259" spans="1:18" ht="17" customHeight="1">
      <c r="A259" s="4">
        <v>258</v>
      </c>
      <c r="B259" s="162">
        <v>7</v>
      </c>
      <c r="C259" s="162">
        <v>1</v>
      </c>
      <c r="D259" s="162">
        <v>1</v>
      </c>
      <c r="E259" s="133" t="s">
        <v>2235</v>
      </c>
      <c r="F259" s="133">
        <v>12</v>
      </c>
      <c r="G259" s="133">
        <v>12</v>
      </c>
      <c r="H259" s="133">
        <v>5</v>
      </c>
      <c r="I259" s="133">
        <v>1.5</v>
      </c>
      <c r="J259" s="133">
        <v>29.25</v>
      </c>
      <c r="K259" s="133">
        <v>100</v>
      </c>
      <c r="L259" s="133">
        <v>15.6</v>
      </c>
      <c r="M259" s="163">
        <v>370.2</v>
      </c>
      <c r="N259" s="38" t="b">
        <f>IF(CNC!C$14&gt;=L259,A259)</f>
        <v>0</v>
      </c>
      <c r="O259" s="25">
        <f>IF(CNC!C$15=I259,A259)</f>
        <v>258</v>
      </c>
      <c r="P259" s="25">
        <f>IF(CNC!C$16&lt;=J259,A259)</f>
        <v>258</v>
      </c>
      <c r="Q259" s="25">
        <f>IF(D259=CNC!AR$10,A259)</f>
        <v>258</v>
      </c>
      <c r="R259" s="25" t="b">
        <f t="shared" si="13"/>
        <v>0</v>
      </c>
    </row>
    <row r="260" spans="1:18" ht="17" customHeight="1">
      <c r="A260" s="4">
        <v>259</v>
      </c>
      <c r="B260" s="162">
        <v>7</v>
      </c>
      <c r="C260" s="162">
        <v>1</v>
      </c>
      <c r="D260" s="162">
        <v>1</v>
      </c>
      <c r="E260" s="133" t="s">
        <v>2012</v>
      </c>
      <c r="F260" s="133">
        <v>12</v>
      </c>
      <c r="G260" s="133">
        <v>12</v>
      </c>
      <c r="H260" s="133">
        <v>4</v>
      </c>
      <c r="I260" s="133">
        <v>2</v>
      </c>
      <c r="J260" s="133">
        <v>35</v>
      </c>
      <c r="K260" s="133">
        <v>100</v>
      </c>
      <c r="L260" s="133">
        <v>15.6</v>
      </c>
      <c r="M260" s="163">
        <v>370.2</v>
      </c>
      <c r="N260" s="38" t="b">
        <f>IF(CNC!C$14&gt;=L260,A260)</f>
        <v>0</v>
      </c>
      <c r="O260" s="25" t="b">
        <f>IF(CNC!C$15=I260,A260)</f>
        <v>0</v>
      </c>
      <c r="P260" s="25">
        <f>IF(CNC!C$16&lt;=J260,A260)</f>
        <v>259</v>
      </c>
      <c r="Q260" s="25">
        <f>IF(D260=CNC!AR$10,A260)</f>
        <v>259</v>
      </c>
      <c r="R260" s="25" t="b">
        <f t="shared" si="13"/>
        <v>0</v>
      </c>
    </row>
    <row r="261" spans="1:18" ht="17" customHeight="1">
      <c r="A261" s="4">
        <v>260</v>
      </c>
      <c r="B261" s="162">
        <v>7</v>
      </c>
      <c r="C261" s="162">
        <v>1</v>
      </c>
      <c r="D261" s="162">
        <v>1</v>
      </c>
      <c r="E261" s="133" t="s">
        <v>2013</v>
      </c>
      <c r="F261" s="133">
        <v>10</v>
      </c>
      <c r="G261" s="133">
        <v>10</v>
      </c>
      <c r="H261" s="133">
        <v>3</v>
      </c>
      <c r="I261" s="133">
        <v>2</v>
      </c>
      <c r="J261" s="133">
        <v>31</v>
      </c>
      <c r="K261" s="133">
        <v>100</v>
      </c>
      <c r="L261" s="133">
        <v>13.6</v>
      </c>
      <c r="M261" s="163">
        <v>315.3</v>
      </c>
      <c r="N261" s="38" t="b">
        <f>IF(CNC!C$14&gt;=L261,A261)</f>
        <v>0</v>
      </c>
      <c r="O261" s="25" t="b">
        <f>IF(CNC!C$15=I261,A261)</f>
        <v>0</v>
      </c>
      <c r="P261" s="25">
        <f>IF(CNC!C$16&lt;=J261,A261)</f>
        <v>260</v>
      </c>
      <c r="Q261" s="25">
        <f>IF(D261=CNC!AR$10,A261)</f>
        <v>260</v>
      </c>
      <c r="R261" s="25" t="b">
        <f t="shared" si="13"/>
        <v>0</v>
      </c>
    </row>
    <row r="262" spans="1:18" ht="17" customHeight="1">
      <c r="A262" s="4">
        <v>261</v>
      </c>
      <c r="B262" s="162">
        <v>7</v>
      </c>
      <c r="C262" s="162">
        <v>1</v>
      </c>
      <c r="D262" s="162">
        <v>1</v>
      </c>
      <c r="E262" s="133" t="s">
        <v>2014</v>
      </c>
      <c r="F262" s="133">
        <v>10</v>
      </c>
      <c r="G262" s="133">
        <v>9</v>
      </c>
      <c r="H262" s="133">
        <v>3</v>
      </c>
      <c r="I262" s="133">
        <v>1.75</v>
      </c>
      <c r="J262" s="133">
        <v>27.12</v>
      </c>
      <c r="K262" s="133">
        <v>100</v>
      </c>
      <c r="L262" s="133">
        <v>11.6</v>
      </c>
      <c r="M262" s="163">
        <v>315.3</v>
      </c>
      <c r="N262" s="38" t="b">
        <f>IF(CNC!C$14&gt;=L262,A262)</f>
        <v>0</v>
      </c>
      <c r="O262" s="25" t="b">
        <f>IF(CNC!C$15=I262,A262)</f>
        <v>0</v>
      </c>
      <c r="P262" s="25">
        <f>IF(CNC!C$16&lt;=J262,A262)</f>
        <v>261</v>
      </c>
      <c r="Q262" s="25">
        <f>IF(D262=CNC!AR$10,A262)</f>
        <v>261</v>
      </c>
      <c r="R262" s="25" t="b">
        <f t="shared" si="13"/>
        <v>0</v>
      </c>
    </row>
    <row r="263" spans="1:18" ht="17" customHeight="1">
      <c r="A263" s="4">
        <v>262</v>
      </c>
      <c r="B263" s="162">
        <v>7</v>
      </c>
      <c r="C263" s="162">
        <v>1</v>
      </c>
      <c r="D263" s="162">
        <v>1</v>
      </c>
      <c r="E263" s="133" t="s">
        <v>2015</v>
      </c>
      <c r="F263" s="133">
        <v>8</v>
      </c>
      <c r="G263" s="133">
        <v>8</v>
      </c>
      <c r="H263" s="133">
        <v>4</v>
      </c>
      <c r="I263" s="133">
        <v>1</v>
      </c>
      <c r="J263" s="133">
        <v>17.5</v>
      </c>
      <c r="K263" s="133">
        <v>76</v>
      </c>
      <c r="L263" s="133">
        <v>9.8000000000000007</v>
      </c>
      <c r="M263" s="163">
        <v>247.6</v>
      </c>
      <c r="N263" s="38">
        <f>IF(CNC!C$14&gt;=L263,A263)</f>
        <v>262</v>
      </c>
      <c r="O263" s="25" t="b">
        <f>IF(CNC!C$15=I263,A263)</f>
        <v>0</v>
      </c>
      <c r="P263" s="25" t="b">
        <f>IF(CNC!C$16&lt;=J263,A263)</f>
        <v>0</v>
      </c>
      <c r="Q263" s="25">
        <f>IF(D263=CNC!AR$10,A263)</f>
        <v>262</v>
      </c>
      <c r="R263" s="25" t="b">
        <f t="shared" si="13"/>
        <v>0</v>
      </c>
    </row>
    <row r="264" spans="1:18" ht="17" customHeight="1">
      <c r="A264" s="4">
        <v>263</v>
      </c>
      <c r="B264" s="162">
        <v>7</v>
      </c>
      <c r="C264" s="162">
        <v>1</v>
      </c>
      <c r="D264" s="162">
        <v>1</v>
      </c>
      <c r="E264" s="133" t="s">
        <v>2016</v>
      </c>
      <c r="F264" s="133">
        <v>8</v>
      </c>
      <c r="G264" s="133">
        <v>8</v>
      </c>
      <c r="H264" s="133">
        <v>3</v>
      </c>
      <c r="I264" s="133">
        <v>1.75</v>
      </c>
      <c r="J264" s="133">
        <v>27.12</v>
      </c>
      <c r="K264" s="133">
        <v>76</v>
      </c>
      <c r="L264" s="133">
        <v>10.6</v>
      </c>
      <c r="M264" s="163">
        <v>247.6</v>
      </c>
      <c r="N264" s="38" t="b">
        <f>IF(CNC!C$14&gt;=L264,A264)</f>
        <v>0</v>
      </c>
      <c r="O264" s="25" t="b">
        <f>IF(CNC!C$15=I264,A264)</f>
        <v>0</v>
      </c>
      <c r="P264" s="25">
        <f>IF(CNC!C$16&lt;=J264,A264)</f>
        <v>263</v>
      </c>
      <c r="Q264" s="25">
        <f>IF(D264=CNC!AR$10,A264)</f>
        <v>263</v>
      </c>
      <c r="R264" s="25" t="b">
        <f t="shared" si="13"/>
        <v>0</v>
      </c>
    </row>
    <row r="265" spans="1:18" ht="17" customHeight="1">
      <c r="A265" s="4">
        <v>264</v>
      </c>
      <c r="B265" s="162">
        <v>7</v>
      </c>
      <c r="C265" s="162">
        <v>1</v>
      </c>
      <c r="D265" s="162">
        <v>1</v>
      </c>
      <c r="E265" s="133" t="s">
        <v>2017</v>
      </c>
      <c r="F265" s="133">
        <v>8</v>
      </c>
      <c r="G265" s="133">
        <v>7.5</v>
      </c>
      <c r="H265" s="133">
        <v>3</v>
      </c>
      <c r="I265" s="133">
        <v>1.5</v>
      </c>
      <c r="J265" s="133">
        <v>21.75</v>
      </c>
      <c r="K265" s="133">
        <v>76</v>
      </c>
      <c r="L265" s="133">
        <v>9.6</v>
      </c>
      <c r="M265" s="163">
        <v>247.6</v>
      </c>
      <c r="N265" s="38">
        <f>IF(CNC!C$14&gt;=L265,A265)</f>
        <v>264</v>
      </c>
      <c r="O265" s="25">
        <f>IF(CNC!C$15=I265,A265)</f>
        <v>264</v>
      </c>
      <c r="P265" s="25">
        <f>IF(CNC!C$16&lt;=J265,A265)</f>
        <v>264</v>
      </c>
      <c r="Q265" s="25">
        <f>IF(D265=CNC!AR$10,A265)</f>
        <v>264</v>
      </c>
      <c r="R265" s="25">
        <f t="shared" si="13"/>
        <v>264</v>
      </c>
    </row>
    <row r="266" spans="1:18" ht="17" customHeight="1">
      <c r="A266" s="4">
        <v>265</v>
      </c>
      <c r="B266" s="162">
        <v>7</v>
      </c>
      <c r="C266" s="162">
        <v>1</v>
      </c>
      <c r="D266" s="162">
        <v>1</v>
      </c>
      <c r="E266" s="133" t="s">
        <v>2018</v>
      </c>
      <c r="F266" s="133">
        <v>6</v>
      </c>
      <c r="G266" s="133">
        <v>6</v>
      </c>
      <c r="H266" s="133">
        <v>3</v>
      </c>
      <c r="I266" s="133">
        <v>1.25</v>
      </c>
      <c r="J266" s="133">
        <v>18.12</v>
      </c>
      <c r="K266" s="133">
        <v>76</v>
      </c>
      <c r="L266" s="133">
        <v>7.8</v>
      </c>
      <c r="M266" s="163">
        <v>195.9</v>
      </c>
      <c r="N266" s="38">
        <f>IF(CNC!C$14&gt;=L266,A266)</f>
        <v>265</v>
      </c>
      <c r="O266" s="25" t="b">
        <f>IF(CNC!C$15=I266,A266)</f>
        <v>0</v>
      </c>
      <c r="P266" s="25" t="b">
        <f>IF(CNC!C$16&lt;=J266,A266)</f>
        <v>0</v>
      </c>
      <c r="Q266" s="25">
        <f>IF(D266=CNC!AR$10,A266)</f>
        <v>265</v>
      </c>
      <c r="R266" s="25" t="b">
        <f t="shared" si="13"/>
        <v>0</v>
      </c>
    </row>
    <row r="267" spans="1:18" ht="17" customHeight="1">
      <c r="A267" s="4">
        <v>266</v>
      </c>
      <c r="B267" s="162">
        <v>4</v>
      </c>
      <c r="C267" s="162">
        <v>1</v>
      </c>
      <c r="D267" s="162">
        <v>1</v>
      </c>
      <c r="E267" s="133" t="s">
        <v>2019</v>
      </c>
      <c r="F267" s="133">
        <v>20</v>
      </c>
      <c r="G267" s="133">
        <v>20</v>
      </c>
      <c r="H267" s="133">
        <v>3</v>
      </c>
      <c r="I267" s="133">
        <v>3.5</v>
      </c>
      <c r="J267" s="133">
        <v>64.75</v>
      </c>
      <c r="K267" s="133">
        <v>150</v>
      </c>
      <c r="L267" s="133">
        <v>29.6</v>
      </c>
      <c r="M267" s="163">
        <v>674.4</v>
      </c>
      <c r="N267" s="38" t="b">
        <f>IF(CNC!C$14&gt;=L267,A267)</f>
        <v>0</v>
      </c>
      <c r="O267" s="25" t="b">
        <f>IF(CNC!C$15=I267,A267)</f>
        <v>0</v>
      </c>
      <c r="P267" s="25">
        <f>IF(CNC!C$16&lt;=J267,A267)</f>
        <v>266</v>
      </c>
      <c r="Q267" s="25">
        <f>IF(D267=CNC!AR$10,A267)</f>
        <v>266</v>
      </c>
      <c r="R267" s="25" t="b">
        <f t="shared" si="13"/>
        <v>0</v>
      </c>
    </row>
    <row r="268" spans="1:18" ht="17" customHeight="1">
      <c r="A268" s="4">
        <v>267</v>
      </c>
      <c r="B268" s="162">
        <v>4</v>
      </c>
      <c r="C268" s="162">
        <v>1</v>
      </c>
      <c r="D268" s="162">
        <v>1</v>
      </c>
      <c r="E268" s="133" t="s">
        <v>2020</v>
      </c>
      <c r="F268" s="133">
        <v>20</v>
      </c>
      <c r="G268" s="133">
        <v>20</v>
      </c>
      <c r="H268" s="133">
        <v>3</v>
      </c>
      <c r="I268" s="133">
        <v>3.5</v>
      </c>
      <c r="J268" s="133">
        <v>50.75</v>
      </c>
      <c r="K268" s="133">
        <v>150</v>
      </c>
      <c r="L268" s="133">
        <v>29.6</v>
      </c>
      <c r="M268" s="163">
        <v>613.1</v>
      </c>
      <c r="N268" s="38" t="b">
        <f>IF(CNC!C$14&gt;=L268,A268)</f>
        <v>0</v>
      </c>
      <c r="O268" s="25" t="b">
        <f>IF(CNC!C$15=I268,A268)</f>
        <v>0</v>
      </c>
      <c r="P268" s="25">
        <f>IF(CNC!C$16&lt;=J268,A268)</f>
        <v>267</v>
      </c>
      <c r="Q268" s="25">
        <f>IF(D268=CNC!AR$10,A268)</f>
        <v>267</v>
      </c>
      <c r="R268" s="25" t="b">
        <f t="shared" si="13"/>
        <v>0</v>
      </c>
    </row>
    <row r="269" spans="1:18" ht="17" customHeight="1">
      <c r="A269" s="4">
        <v>268</v>
      </c>
      <c r="B269" s="162">
        <v>4</v>
      </c>
      <c r="C269" s="162">
        <v>1</v>
      </c>
      <c r="D269" s="162">
        <v>1</v>
      </c>
      <c r="E269" s="133" t="s">
        <v>2021</v>
      </c>
      <c r="F269" s="133">
        <v>16</v>
      </c>
      <c r="G269" s="133">
        <v>16</v>
      </c>
      <c r="H269" s="133">
        <v>6</v>
      </c>
      <c r="I269" s="133">
        <v>1.5</v>
      </c>
      <c r="J269" s="133">
        <v>35.25</v>
      </c>
      <c r="K269" s="133">
        <v>120</v>
      </c>
      <c r="L269" s="133">
        <v>19.600000000000001</v>
      </c>
      <c r="M269" s="163">
        <v>488.1</v>
      </c>
      <c r="N269" s="38" t="b">
        <f>IF(CNC!C$14&gt;=L269,A269)</f>
        <v>0</v>
      </c>
      <c r="O269" s="25">
        <f>IF(CNC!C$15=I269,A269)</f>
        <v>268</v>
      </c>
      <c r="P269" s="25">
        <f>IF(CNC!C$16&lt;=J269,A269)</f>
        <v>268</v>
      </c>
      <c r="Q269" s="25">
        <f>IF(D269=CNC!AR$10,A269)</f>
        <v>268</v>
      </c>
      <c r="R269" s="25" t="b">
        <f t="shared" si="13"/>
        <v>0</v>
      </c>
    </row>
    <row r="270" spans="1:18" ht="17" customHeight="1">
      <c r="A270" s="4">
        <v>269</v>
      </c>
      <c r="B270" s="162">
        <v>4</v>
      </c>
      <c r="C270" s="162">
        <v>1</v>
      </c>
      <c r="D270" s="162">
        <v>1</v>
      </c>
      <c r="E270" s="133" t="s">
        <v>2022</v>
      </c>
      <c r="F270" s="133">
        <v>16</v>
      </c>
      <c r="G270" s="133">
        <v>16</v>
      </c>
      <c r="H270" s="133">
        <v>5</v>
      </c>
      <c r="I270" s="133">
        <v>2</v>
      </c>
      <c r="J270" s="133">
        <v>39</v>
      </c>
      <c r="K270" s="133">
        <v>120</v>
      </c>
      <c r="L270" s="133">
        <v>19.600000000000001</v>
      </c>
      <c r="M270" s="163">
        <v>488.1</v>
      </c>
      <c r="N270" s="38" t="b">
        <f>IF(CNC!C$14&gt;=L270,A270)</f>
        <v>0</v>
      </c>
      <c r="O270" s="25" t="b">
        <f>IF(CNC!C$15=I270,A270)</f>
        <v>0</v>
      </c>
      <c r="P270" s="25">
        <f>IF(CNC!C$16&lt;=J270,A270)</f>
        <v>269</v>
      </c>
      <c r="Q270" s="25">
        <f>IF(D270=CNC!AR$10,A270)</f>
        <v>269</v>
      </c>
      <c r="R270" s="25" t="b">
        <f t="shared" si="13"/>
        <v>0</v>
      </c>
    </row>
    <row r="271" spans="1:18" ht="17" customHeight="1">
      <c r="A271" s="4">
        <v>270</v>
      </c>
      <c r="B271" s="162">
        <v>4</v>
      </c>
      <c r="C271" s="162">
        <v>1</v>
      </c>
      <c r="D271" s="162">
        <v>1</v>
      </c>
      <c r="E271" s="133" t="s">
        <v>2023</v>
      </c>
      <c r="F271" s="133">
        <v>16</v>
      </c>
      <c r="G271" s="133">
        <v>16</v>
      </c>
      <c r="H271" s="133">
        <v>3</v>
      </c>
      <c r="I271" s="133">
        <v>3</v>
      </c>
      <c r="J271" s="133">
        <v>52.5</v>
      </c>
      <c r="K271" s="133">
        <v>120</v>
      </c>
      <c r="L271" s="133">
        <v>23.6</v>
      </c>
      <c r="M271" s="163">
        <v>488</v>
      </c>
      <c r="N271" s="38" t="b">
        <f>IF(CNC!C$14&gt;=L271,A271)</f>
        <v>0</v>
      </c>
      <c r="O271" s="25" t="b">
        <f>IF(CNC!C$15=I271,A271)</f>
        <v>0</v>
      </c>
      <c r="P271" s="25">
        <f>IF(CNC!C$16&lt;=J271,A271)</f>
        <v>270</v>
      </c>
      <c r="Q271" s="25">
        <f>IF(D271=CNC!AR$10,A271)</f>
        <v>270</v>
      </c>
      <c r="R271" s="25" t="b">
        <f t="shared" si="13"/>
        <v>0</v>
      </c>
    </row>
    <row r="272" spans="1:18" ht="17" customHeight="1">
      <c r="A272" s="4">
        <v>271</v>
      </c>
      <c r="B272" s="162">
        <v>4</v>
      </c>
      <c r="C272" s="162">
        <v>1</v>
      </c>
      <c r="D272" s="162">
        <v>1</v>
      </c>
      <c r="E272" s="133" t="s">
        <v>2024</v>
      </c>
      <c r="F272" s="133">
        <v>16</v>
      </c>
      <c r="G272" s="133">
        <v>16</v>
      </c>
      <c r="H272" s="133">
        <v>3</v>
      </c>
      <c r="I272" s="133">
        <v>3</v>
      </c>
      <c r="J272" s="133">
        <v>40.5</v>
      </c>
      <c r="K272" s="133">
        <v>120</v>
      </c>
      <c r="L272" s="133">
        <v>23.6</v>
      </c>
      <c r="M272" s="163">
        <v>443.6</v>
      </c>
      <c r="N272" s="38" t="b">
        <f>IF(CNC!C$14&gt;=L272,A272)</f>
        <v>0</v>
      </c>
      <c r="O272" s="25" t="b">
        <f>IF(CNC!C$15=I272,A272)</f>
        <v>0</v>
      </c>
      <c r="P272" s="25">
        <f>IF(CNC!C$16&lt;=J272,A272)</f>
        <v>271</v>
      </c>
      <c r="Q272" s="25">
        <f>IF(D272=CNC!AR$10,A272)</f>
        <v>271</v>
      </c>
      <c r="R272" s="25" t="b">
        <f t="shared" si="13"/>
        <v>0</v>
      </c>
    </row>
    <row r="273" spans="1:18" ht="17" customHeight="1">
      <c r="A273" s="4">
        <v>272</v>
      </c>
      <c r="B273" s="162">
        <v>4</v>
      </c>
      <c r="C273" s="162">
        <v>1</v>
      </c>
      <c r="D273" s="162">
        <v>1</v>
      </c>
      <c r="E273" s="133" t="s">
        <v>2025</v>
      </c>
      <c r="F273" s="133">
        <v>16</v>
      </c>
      <c r="G273" s="133">
        <v>15</v>
      </c>
      <c r="H273" s="133">
        <v>4</v>
      </c>
      <c r="I273" s="133">
        <v>2.5</v>
      </c>
      <c r="J273" s="133">
        <v>53.75</v>
      </c>
      <c r="K273" s="133">
        <v>120</v>
      </c>
      <c r="L273" s="133">
        <v>19.600000000000001</v>
      </c>
      <c r="M273" s="163">
        <v>488</v>
      </c>
      <c r="N273" s="38" t="b">
        <f>IF(CNC!C$14&gt;=L273,A273)</f>
        <v>0</v>
      </c>
      <c r="O273" s="25" t="b">
        <f>IF(CNC!C$15=I273,A273)</f>
        <v>0</v>
      </c>
      <c r="P273" s="25">
        <f>IF(CNC!C$16&lt;=J273,A273)</f>
        <v>272</v>
      </c>
      <c r="Q273" s="25">
        <f>IF(D273=CNC!AR$10,A273)</f>
        <v>272</v>
      </c>
      <c r="R273" s="25" t="b">
        <f t="shared" si="13"/>
        <v>0</v>
      </c>
    </row>
    <row r="274" spans="1:18" ht="17" customHeight="1">
      <c r="A274" s="4">
        <v>273</v>
      </c>
      <c r="B274" s="162">
        <v>4</v>
      </c>
      <c r="C274" s="162">
        <v>1</v>
      </c>
      <c r="D274" s="162">
        <v>1</v>
      </c>
      <c r="E274" s="133" t="s">
        <v>2026</v>
      </c>
      <c r="F274" s="133">
        <v>14</v>
      </c>
      <c r="G274" s="133">
        <v>14</v>
      </c>
      <c r="H274" s="133">
        <v>4</v>
      </c>
      <c r="I274" s="133">
        <v>2.5</v>
      </c>
      <c r="J274" s="133">
        <v>43.75</v>
      </c>
      <c r="K274" s="133">
        <v>100</v>
      </c>
      <c r="L274" s="133">
        <v>19.600000000000001</v>
      </c>
      <c r="M274" s="163">
        <v>421.8</v>
      </c>
      <c r="N274" s="38" t="b">
        <f>IF(CNC!C$14&gt;=L274,A274)</f>
        <v>0</v>
      </c>
      <c r="O274" s="25" t="b">
        <f>IF(CNC!C$15=I274,A274)</f>
        <v>0</v>
      </c>
      <c r="P274" s="25">
        <f>IF(CNC!C$16&lt;=J274,A274)</f>
        <v>273</v>
      </c>
      <c r="Q274" s="25">
        <f>IF(D274=CNC!AR$10,A274)</f>
        <v>273</v>
      </c>
      <c r="R274" s="25" t="b">
        <f t="shared" si="13"/>
        <v>0</v>
      </c>
    </row>
    <row r="275" spans="1:18" ht="17" customHeight="1">
      <c r="A275" s="4">
        <v>274</v>
      </c>
      <c r="B275" s="162">
        <v>4</v>
      </c>
      <c r="C275" s="162">
        <v>1</v>
      </c>
      <c r="D275" s="162">
        <v>1</v>
      </c>
      <c r="E275" s="133" t="s">
        <v>2027</v>
      </c>
      <c r="F275" s="133">
        <v>14</v>
      </c>
      <c r="G275" s="133">
        <v>14</v>
      </c>
      <c r="H275" s="133">
        <v>4</v>
      </c>
      <c r="I275" s="133">
        <v>2.5</v>
      </c>
      <c r="J275" s="133">
        <v>33.75</v>
      </c>
      <c r="K275" s="133">
        <v>100</v>
      </c>
      <c r="L275" s="133">
        <v>19.600000000000001</v>
      </c>
      <c r="M275" s="163">
        <v>383.3</v>
      </c>
      <c r="N275" s="38" t="b">
        <f>IF(CNC!C$14&gt;=L275,A275)</f>
        <v>0</v>
      </c>
      <c r="O275" s="25" t="b">
        <f>IF(CNC!C$15=I275,A275)</f>
        <v>0</v>
      </c>
      <c r="P275" s="25">
        <f>IF(CNC!C$16&lt;=J275,A275)</f>
        <v>274</v>
      </c>
      <c r="Q275" s="25">
        <f>IF(D275=CNC!AR$10,A275)</f>
        <v>274</v>
      </c>
      <c r="R275" s="25" t="b">
        <f t="shared" si="13"/>
        <v>0</v>
      </c>
    </row>
    <row r="276" spans="1:18" ht="17" customHeight="1">
      <c r="A276" s="4">
        <v>275</v>
      </c>
      <c r="B276" s="162">
        <v>4</v>
      </c>
      <c r="C276" s="162">
        <v>1</v>
      </c>
      <c r="D276" s="162">
        <v>1</v>
      </c>
      <c r="E276" s="133" t="s">
        <v>2234</v>
      </c>
      <c r="F276" s="133">
        <v>12</v>
      </c>
      <c r="G276" s="133">
        <v>12</v>
      </c>
      <c r="H276" s="133">
        <v>5</v>
      </c>
      <c r="I276" s="133">
        <v>1.5</v>
      </c>
      <c r="J276" s="133">
        <v>29.25</v>
      </c>
      <c r="K276" s="133">
        <v>100</v>
      </c>
      <c r="L276" s="133">
        <v>15.6</v>
      </c>
      <c r="M276" s="163">
        <v>339.2</v>
      </c>
      <c r="N276" s="38" t="b">
        <f>IF(CNC!C$14&gt;=L276,A276)</f>
        <v>0</v>
      </c>
      <c r="O276" s="25">
        <f>IF(CNC!C$15=I276,A276)</f>
        <v>275</v>
      </c>
      <c r="P276" s="25">
        <f>IF(CNC!C$16&lt;=J276,A276)</f>
        <v>275</v>
      </c>
      <c r="Q276" s="25">
        <f>IF(D276=CNC!AR$10,A276)</f>
        <v>275</v>
      </c>
      <c r="R276" s="25" t="b">
        <f t="shared" si="13"/>
        <v>0</v>
      </c>
    </row>
    <row r="277" spans="1:18" ht="17" customHeight="1">
      <c r="A277" s="4">
        <v>276</v>
      </c>
      <c r="B277" s="162">
        <v>4</v>
      </c>
      <c r="C277" s="162">
        <v>1</v>
      </c>
      <c r="D277" s="162">
        <v>1</v>
      </c>
      <c r="E277" s="133" t="s">
        <v>2028</v>
      </c>
      <c r="F277" s="133">
        <v>12</v>
      </c>
      <c r="G277" s="133">
        <v>12</v>
      </c>
      <c r="H277" s="133">
        <v>4</v>
      </c>
      <c r="I277" s="133">
        <v>2</v>
      </c>
      <c r="J277" s="133">
        <v>43</v>
      </c>
      <c r="K277" s="133">
        <v>100</v>
      </c>
      <c r="L277" s="133">
        <v>15.6</v>
      </c>
      <c r="M277" s="163">
        <v>373.3</v>
      </c>
      <c r="N277" s="38" t="b">
        <f>IF(CNC!C$14&gt;=L277,A277)</f>
        <v>0</v>
      </c>
      <c r="O277" s="25" t="b">
        <f>IF(CNC!C$15=I277,A277)</f>
        <v>0</v>
      </c>
      <c r="P277" s="25">
        <f>IF(CNC!C$16&lt;=J277,A277)</f>
        <v>276</v>
      </c>
      <c r="Q277" s="25">
        <f>IF(D277=CNC!AR$10,A277)</f>
        <v>276</v>
      </c>
      <c r="R277" s="25" t="b">
        <f t="shared" si="13"/>
        <v>0</v>
      </c>
    </row>
    <row r="278" spans="1:18" ht="17" customHeight="1">
      <c r="A278" s="4">
        <v>277</v>
      </c>
      <c r="B278" s="162">
        <v>4</v>
      </c>
      <c r="C278" s="162">
        <v>1</v>
      </c>
      <c r="D278" s="162">
        <v>1</v>
      </c>
      <c r="E278" s="133" t="s">
        <v>2029</v>
      </c>
      <c r="F278" s="133">
        <v>12</v>
      </c>
      <c r="G278" s="133">
        <v>12</v>
      </c>
      <c r="H278" s="133">
        <v>4</v>
      </c>
      <c r="I278" s="133">
        <v>2</v>
      </c>
      <c r="J278" s="133">
        <v>35</v>
      </c>
      <c r="K278" s="133">
        <v>100</v>
      </c>
      <c r="L278" s="133">
        <v>15.6</v>
      </c>
      <c r="M278" s="163">
        <v>339.2</v>
      </c>
      <c r="N278" s="38" t="b">
        <f>IF(CNC!C$14&gt;=L278,A278)</f>
        <v>0</v>
      </c>
      <c r="O278" s="25" t="b">
        <f>IF(CNC!C$15=I278,A278)</f>
        <v>0</v>
      </c>
      <c r="P278" s="25">
        <f>IF(CNC!C$16&lt;=J278,A278)</f>
        <v>277</v>
      </c>
      <c r="Q278" s="25">
        <f>IF(D278=CNC!AR$10,A278)</f>
        <v>277</v>
      </c>
      <c r="R278" s="25" t="b">
        <f t="shared" si="13"/>
        <v>0</v>
      </c>
    </row>
    <row r="279" spans="1:18" ht="17" customHeight="1">
      <c r="A279" s="4">
        <v>278</v>
      </c>
      <c r="B279" s="162">
        <v>4</v>
      </c>
      <c r="C279" s="162">
        <v>1</v>
      </c>
      <c r="D279" s="162">
        <v>1</v>
      </c>
      <c r="E279" s="133" t="s">
        <v>2030</v>
      </c>
      <c r="F279" s="133">
        <v>12</v>
      </c>
      <c r="G279" s="133">
        <v>12</v>
      </c>
      <c r="H279" s="133">
        <v>4</v>
      </c>
      <c r="I279" s="133">
        <v>2</v>
      </c>
      <c r="J279" s="133">
        <v>27</v>
      </c>
      <c r="K279" s="133">
        <v>100</v>
      </c>
      <c r="L279" s="133">
        <v>15.6</v>
      </c>
      <c r="M279" s="163">
        <v>308.60000000000002</v>
      </c>
      <c r="N279" s="38" t="b">
        <f>IF(CNC!C$14&gt;=L279,A279)</f>
        <v>0</v>
      </c>
      <c r="O279" s="25" t="b">
        <f>IF(CNC!C$15=I279,A279)</f>
        <v>0</v>
      </c>
      <c r="P279" s="25">
        <f>IF(CNC!C$16&lt;=J279,A279)</f>
        <v>278</v>
      </c>
      <c r="Q279" s="25">
        <f>IF(D279=CNC!AR$10,A279)</f>
        <v>278</v>
      </c>
      <c r="R279" s="25" t="b">
        <f t="shared" si="13"/>
        <v>0</v>
      </c>
    </row>
    <row r="280" spans="1:18" ht="17" customHeight="1">
      <c r="A280" s="4">
        <v>279</v>
      </c>
      <c r="B280" s="162">
        <v>4</v>
      </c>
      <c r="C280" s="162">
        <v>1</v>
      </c>
      <c r="D280" s="162">
        <v>1</v>
      </c>
      <c r="E280" s="133" t="s">
        <v>2031</v>
      </c>
      <c r="F280" s="133">
        <v>12</v>
      </c>
      <c r="G280" s="133">
        <v>12</v>
      </c>
      <c r="H280" s="133">
        <v>3</v>
      </c>
      <c r="I280" s="133">
        <v>2</v>
      </c>
      <c r="J280" s="133">
        <v>51</v>
      </c>
      <c r="K280" s="133">
        <v>100</v>
      </c>
      <c r="L280" s="133">
        <v>15.6</v>
      </c>
      <c r="M280" s="163">
        <v>410.7</v>
      </c>
      <c r="N280" s="38" t="b">
        <f>IF(CNC!C$14&gt;=L280,A280)</f>
        <v>0</v>
      </c>
      <c r="O280" s="25" t="b">
        <f>IF(CNC!C$15=I280,A280)</f>
        <v>0</v>
      </c>
      <c r="P280" s="25">
        <f>IF(CNC!C$16&lt;=J280,A280)</f>
        <v>279</v>
      </c>
      <c r="Q280" s="25">
        <f>IF(D280=CNC!AR$10,A280)</f>
        <v>279</v>
      </c>
      <c r="R280" s="25" t="b">
        <f t="shared" si="13"/>
        <v>0</v>
      </c>
    </row>
    <row r="281" spans="1:18" ht="17" customHeight="1">
      <c r="A281" s="4">
        <v>280</v>
      </c>
      <c r="B281" s="162">
        <v>4</v>
      </c>
      <c r="C281" s="162">
        <v>1</v>
      </c>
      <c r="D281" s="162">
        <v>1</v>
      </c>
      <c r="E281" s="133" t="s">
        <v>2032</v>
      </c>
      <c r="F281" s="133">
        <v>10</v>
      </c>
      <c r="G281" s="133">
        <v>10</v>
      </c>
      <c r="H281" s="133">
        <v>3</v>
      </c>
      <c r="I281" s="133">
        <v>2</v>
      </c>
      <c r="J281" s="133">
        <v>31</v>
      </c>
      <c r="K281" s="133">
        <v>100</v>
      </c>
      <c r="L281" s="133">
        <v>13.6</v>
      </c>
      <c r="M281" s="163">
        <v>288.8</v>
      </c>
      <c r="N281" s="38" t="b">
        <f>IF(CNC!C$14&gt;=L281,A281)</f>
        <v>0</v>
      </c>
      <c r="O281" s="25" t="b">
        <f>IF(CNC!C$15=I281,A281)</f>
        <v>0</v>
      </c>
      <c r="P281" s="25">
        <f>IF(CNC!C$16&lt;=J281,A281)</f>
        <v>280</v>
      </c>
      <c r="Q281" s="25">
        <f>IF(D281=CNC!AR$10,A281)</f>
        <v>280</v>
      </c>
      <c r="R281" s="25" t="b">
        <f t="shared" si="13"/>
        <v>0</v>
      </c>
    </row>
    <row r="282" spans="1:18" ht="17" customHeight="1">
      <c r="A282" s="4">
        <v>281</v>
      </c>
      <c r="B282" s="162">
        <v>4</v>
      </c>
      <c r="C282" s="162">
        <v>1</v>
      </c>
      <c r="D282" s="162">
        <v>1</v>
      </c>
      <c r="E282" s="133" t="s">
        <v>2033</v>
      </c>
      <c r="F282" s="133">
        <v>10</v>
      </c>
      <c r="G282" s="133">
        <v>10</v>
      </c>
      <c r="H282" s="133">
        <v>3</v>
      </c>
      <c r="I282" s="133">
        <v>2</v>
      </c>
      <c r="J282" s="133">
        <v>23</v>
      </c>
      <c r="K282" s="133">
        <v>100</v>
      </c>
      <c r="L282" s="133">
        <v>13.6</v>
      </c>
      <c r="M282" s="163">
        <v>262.7</v>
      </c>
      <c r="N282" s="38" t="b">
        <f>IF(CNC!C$14&gt;=L282,A282)</f>
        <v>0</v>
      </c>
      <c r="O282" s="25" t="b">
        <f>IF(CNC!C$15=I282,A282)</f>
        <v>0</v>
      </c>
      <c r="P282" s="25">
        <f>IF(CNC!C$16&lt;=J282,A282)</f>
        <v>281</v>
      </c>
      <c r="Q282" s="25">
        <f>IF(D282=CNC!AR$10,A282)</f>
        <v>281</v>
      </c>
      <c r="R282" s="25" t="b">
        <f t="shared" si="13"/>
        <v>0</v>
      </c>
    </row>
    <row r="283" spans="1:18" ht="17" customHeight="1">
      <c r="A283" s="4">
        <v>282</v>
      </c>
      <c r="B283" s="162">
        <v>4</v>
      </c>
      <c r="C283" s="162">
        <v>1</v>
      </c>
      <c r="D283" s="162">
        <v>1</v>
      </c>
      <c r="E283" s="133" t="s">
        <v>2034</v>
      </c>
      <c r="F283" s="133">
        <v>10</v>
      </c>
      <c r="G283" s="133">
        <v>9</v>
      </c>
      <c r="H283" s="133">
        <v>3</v>
      </c>
      <c r="I283" s="133">
        <v>1.75</v>
      </c>
      <c r="J283" s="133">
        <v>37.619999999999997</v>
      </c>
      <c r="K283" s="133">
        <v>100</v>
      </c>
      <c r="L283" s="133">
        <v>11.6</v>
      </c>
      <c r="M283" s="163">
        <v>349.6</v>
      </c>
      <c r="N283" s="38" t="b">
        <f>IF(CNC!C$14&gt;=L283,A283)</f>
        <v>0</v>
      </c>
      <c r="O283" s="25" t="b">
        <f>IF(CNC!C$15=I283,A283)</f>
        <v>0</v>
      </c>
      <c r="P283" s="25">
        <f>IF(CNC!C$16&lt;=J283,A283)</f>
        <v>282</v>
      </c>
      <c r="Q283" s="25">
        <f>IF(D283=CNC!AR$10,A283)</f>
        <v>282</v>
      </c>
      <c r="R283" s="25" t="b">
        <f t="shared" si="13"/>
        <v>0</v>
      </c>
    </row>
    <row r="284" spans="1:18" ht="17" customHeight="1">
      <c r="A284" s="4">
        <v>283</v>
      </c>
      <c r="B284" s="162">
        <v>4</v>
      </c>
      <c r="C284" s="162">
        <v>1</v>
      </c>
      <c r="D284" s="162">
        <v>1</v>
      </c>
      <c r="E284" s="133" t="s">
        <v>2035</v>
      </c>
      <c r="F284" s="133">
        <v>10</v>
      </c>
      <c r="G284" s="133">
        <v>9</v>
      </c>
      <c r="H284" s="133">
        <v>3</v>
      </c>
      <c r="I284" s="133">
        <v>1.75</v>
      </c>
      <c r="J284" s="133">
        <v>32.369999999999997</v>
      </c>
      <c r="K284" s="133">
        <v>100</v>
      </c>
      <c r="L284" s="133">
        <v>11.6</v>
      </c>
      <c r="M284" s="163">
        <v>317.8</v>
      </c>
      <c r="N284" s="38" t="b">
        <f>IF(CNC!C$14&gt;=L284,A284)</f>
        <v>0</v>
      </c>
      <c r="O284" s="25" t="b">
        <f>IF(CNC!C$15=I284,A284)</f>
        <v>0</v>
      </c>
      <c r="P284" s="25">
        <f>IF(CNC!C$16&lt;=J284,A284)</f>
        <v>283</v>
      </c>
      <c r="Q284" s="25">
        <f>IF(D284=CNC!AR$10,A284)</f>
        <v>283</v>
      </c>
      <c r="R284" s="25" t="b">
        <f t="shared" si="13"/>
        <v>0</v>
      </c>
    </row>
    <row r="285" spans="1:18" ht="17" customHeight="1">
      <c r="A285" s="4">
        <v>284</v>
      </c>
      <c r="B285" s="162">
        <v>4</v>
      </c>
      <c r="C285" s="162">
        <v>1</v>
      </c>
      <c r="D285" s="162">
        <v>1</v>
      </c>
      <c r="E285" s="133" t="s">
        <v>2036</v>
      </c>
      <c r="F285" s="133">
        <v>10</v>
      </c>
      <c r="G285" s="133">
        <v>9</v>
      </c>
      <c r="H285" s="133">
        <v>3</v>
      </c>
      <c r="I285" s="133">
        <v>1.75</v>
      </c>
      <c r="J285" s="133">
        <v>27.12</v>
      </c>
      <c r="K285" s="133">
        <v>100</v>
      </c>
      <c r="L285" s="133">
        <v>11.6</v>
      </c>
      <c r="M285" s="163">
        <v>288.8</v>
      </c>
      <c r="N285" s="38" t="b">
        <f>IF(CNC!C$14&gt;=L285,A285)</f>
        <v>0</v>
      </c>
      <c r="O285" s="25" t="b">
        <f>IF(CNC!C$15=I285,A285)</f>
        <v>0</v>
      </c>
      <c r="P285" s="25">
        <f>IF(CNC!C$16&lt;=J285,A285)</f>
        <v>284</v>
      </c>
      <c r="Q285" s="25">
        <f>IF(D285=CNC!AR$10,A285)</f>
        <v>284</v>
      </c>
      <c r="R285" s="25" t="b">
        <f t="shared" si="13"/>
        <v>0</v>
      </c>
    </row>
    <row r="286" spans="1:18" ht="17" customHeight="1">
      <c r="A286" s="4">
        <v>285</v>
      </c>
      <c r="B286" s="162">
        <v>4</v>
      </c>
      <c r="C286" s="162">
        <v>1</v>
      </c>
      <c r="D286" s="162">
        <v>1</v>
      </c>
      <c r="E286" s="133" t="s">
        <v>2037</v>
      </c>
      <c r="F286" s="133">
        <v>10</v>
      </c>
      <c r="G286" s="133">
        <v>9</v>
      </c>
      <c r="H286" s="133">
        <v>3</v>
      </c>
      <c r="I286" s="133">
        <v>1.75</v>
      </c>
      <c r="J286" s="133">
        <v>20.12</v>
      </c>
      <c r="K286" s="133">
        <v>100</v>
      </c>
      <c r="L286" s="133">
        <v>11.6</v>
      </c>
      <c r="M286" s="163">
        <v>262.7</v>
      </c>
      <c r="N286" s="38" t="b">
        <f>IF(CNC!C$14&gt;=L286,A286)</f>
        <v>0</v>
      </c>
      <c r="O286" s="25" t="b">
        <f>IF(CNC!C$15=I286,A286)</f>
        <v>0</v>
      </c>
      <c r="P286" s="25">
        <f>IF(CNC!C$16&lt;=J286,A286)</f>
        <v>285</v>
      </c>
      <c r="Q286" s="25">
        <f>IF(D286=CNC!AR$10,A286)</f>
        <v>285</v>
      </c>
      <c r="R286" s="25" t="b">
        <f t="shared" si="13"/>
        <v>0</v>
      </c>
    </row>
    <row r="287" spans="1:18" ht="17" customHeight="1">
      <c r="A287" s="4">
        <v>286</v>
      </c>
      <c r="B287" s="162">
        <v>4</v>
      </c>
      <c r="C287" s="162">
        <v>1</v>
      </c>
      <c r="D287" s="162">
        <v>1</v>
      </c>
      <c r="E287" s="133" t="s">
        <v>2038</v>
      </c>
      <c r="F287" s="133">
        <v>8</v>
      </c>
      <c r="G287" s="133">
        <v>8</v>
      </c>
      <c r="H287" s="133">
        <v>4</v>
      </c>
      <c r="I287" s="133">
        <v>1</v>
      </c>
      <c r="J287" s="133">
        <v>17.5</v>
      </c>
      <c r="K287" s="133">
        <v>76</v>
      </c>
      <c r="L287" s="133">
        <v>9.8000000000000007</v>
      </c>
      <c r="M287" s="163">
        <v>227</v>
      </c>
      <c r="N287" s="38">
        <f>IF(CNC!C$14&gt;=L287,A287)</f>
        <v>286</v>
      </c>
      <c r="O287" s="25" t="b">
        <f>IF(CNC!C$15=I287,A287)</f>
        <v>0</v>
      </c>
      <c r="P287" s="25" t="b">
        <f>IF(CNC!C$16&lt;=J287,A287)</f>
        <v>0</v>
      </c>
      <c r="Q287" s="25">
        <f>IF(D287=CNC!AR$10,A287)</f>
        <v>286</v>
      </c>
      <c r="R287" s="25" t="b">
        <f t="shared" si="13"/>
        <v>0</v>
      </c>
    </row>
    <row r="288" spans="1:18" ht="17" customHeight="1">
      <c r="A288" s="4">
        <v>287</v>
      </c>
      <c r="B288" s="162">
        <v>4</v>
      </c>
      <c r="C288" s="162">
        <v>1</v>
      </c>
      <c r="D288" s="162">
        <v>1</v>
      </c>
      <c r="E288" s="133" t="s">
        <v>2039</v>
      </c>
      <c r="F288" s="133">
        <v>8</v>
      </c>
      <c r="G288" s="133">
        <v>8</v>
      </c>
      <c r="H288" s="133">
        <v>3</v>
      </c>
      <c r="I288" s="133">
        <v>1.75</v>
      </c>
      <c r="J288" s="133">
        <v>27.12</v>
      </c>
      <c r="K288" s="133">
        <v>76</v>
      </c>
      <c r="L288" s="133">
        <v>11.6</v>
      </c>
      <c r="M288" s="163">
        <v>227</v>
      </c>
      <c r="N288" s="38" t="b">
        <f>IF(CNC!C$14&gt;=L288,A288)</f>
        <v>0</v>
      </c>
      <c r="O288" s="25" t="b">
        <f>IF(CNC!C$15=I288,A288)</f>
        <v>0</v>
      </c>
      <c r="P288" s="25">
        <f>IF(CNC!C$16&lt;=J288,A288)</f>
        <v>287</v>
      </c>
      <c r="Q288" s="25">
        <f>IF(D288=CNC!AR$10,A288)</f>
        <v>287</v>
      </c>
      <c r="R288" s="25" t="b">
        <f t="shared" si="13"/>
        <v>0</v>
      </c>
    </row>
    <row r="289" spans="1:18" ht="17" customHeight="1">
      <c r="A289" s="4">
        <v>288</v>
      </c>
      <c r="B289" s="162">
        <v>4</v>
      </c>
      <c r="C289" s="162">
        <v>1</v>
      </c>
      <c r="D289" s="162">
        <v>1</v>
      </c>
      <c r="E289" s="133" t="s">
        <v>2040</v>
      </c>
      <c r="F289" s="133">
        <v>8</v>
      </c>
      <c r="G289" s="133">
        <v>8</v>
      </c>
      <c r="H289" s="133">
        <v>3</v>
      </c>
      <c r="I289" s="133">
        <v>1.75</v>
      </c>
      <c r="J289" s="133">
        <v>20.12</v>
      </c>
      <c r="K289" s="133">
        <v>76</v>
      </c>
      <c r="L289" s="133">
        <v>11.6</v>
      </c>
      <c r="M289" s="163">
        <v>206.6</v>
      </c>
      <c r="N289" s="38" t="b">
        <f>IF(CNC!C$14&gt;=L289,A289)</f>
        <v>0</v>
      </c>
      <c r="O289" s="25" t="b">
        <f>IF(CNC!C$15=I289,A289)</f>
        <v>0</v>
      </c>
      <c r="P289" s="25">
        <f>IF(CNC!C$16&lt;=J289,A289)</f>
        <v>288</v>
      </c>
      <c r="Q289" s="25">
        <f>IF(D289=CNC!AR$10,A289)</f>
        <v>288</v>
      </c>
      <c r="R289" s="25" t="b">
        <f t="shared" si="13"/>
        <v>0</v>
      </c>
    </row>
    <row r="290" spans="1:18" ht="17" customHeight="1">
      <c r="A290" s="4">
        <v>289</v>
      </c>
      <c r="B290" s="162">
        <v>4</v>
      </c>
      <c r="C290" s="162">
        <v>1</v>
      </c>
      <c r="D290" s="162">
        <v>1</v>
      </c>
      <c r="E290" s="133" t="s">
        <v>2041</v>
      </c>
      <c r="F290" s="133">
        <v>8</v>
      </c>
      <c r="G290" s="133">
        <v>7.5</v>
      </c>
      <c r="H290" s="133">
        <v>3</v>
      </c>
      <c r="I290" s="133">
        <v>1.5</v>
      </c>
      <c r="J290" s="133">
        <v>32.25</v>
      </c>
      <c r="K290" s="133">
        <v>76</v>
      </c>
      <c r="L290" s="133">
        <v>9.6</v>
      </c>
      <c r="M290" s="163">
        <v>275</v>
      </c>
      <c r="N290" s="38">
        <f>IF(CNC!C$14&gt;=L290,A290)</f>
        <v>289</v>
      </c>
      <c r="O290" s="25">
        <f>IF(CNC!C$15=I290,A290)</f>
        <v>289</v>
      </c>
      <c r="P290" s="25">
        <f>IF(CNC!C$16&lt;=J290,A290)</f>
        <v>289</v>
      </c>
      <c r="Q290" s="25">
        <f>IF(D290=CNC!AR$10,A290)</f>
        <v>289</v>
      </c>
      <c r="R290" s="25">
        <f t="shared" si="13"/>
        <v>289</v>
      </c>
    </row>
    <row r="291" spans="1:18" ht="17" customHeight="1">
      <c r="A291" s="4">
        <v>290</v>
      </c>
      <c r="B291" s="162">
        <v>4</v>
      </c>
      <c r="C291" s="162">
        <v>1</v>
      </c>
      <c r="D291" s="162">
        <v>1</v>
      </c>
      <c r="E291" s="133" t="s">
        <v>2042</v>
      </c>
      <c r="F291" s="133">
        <v>8</v>
      </c>
      <c r="G291" s="133">
        <v>7.5</v>
      </c>
      <c r="H291" s="133">
        <v>3</v>
      </c>
      <c r="I291" s="133">
        <v>1.5</v>
      </c>
      <c r="J291" s="133">
        <v>27.75</v>
      </c>
      <c r="K291" s="133">
        <v>76</v>
      </c>
      <c r="L291" s="133">
        <v>9.6</v>
      </c>
      <c r="M291" s="163">
        <v>249.9</v>
      </c>
      <c r="N291" s="38">
        <f>IF(CNC!C$14&gt;=L291,A291)</f>
        <v>290</v>
      </c>
      <c r="O291" s="25">
        <f>IF(CNC!C$15=I291,A291)</f>
        <v>290</v>
      </c>
      <c r="P291" s="25">
        <f>IF(CNC!C$16&lt;=J291,A291)</f>
        <v>290</v>
      </c>
      <c r="Q291" s="25">
        <f>IF(D291=CNC!AR$10,A291)</f>
        <v>290</v>
      </c>
      <c r="R291" s="25">
        <f t="shared" si="13"/>
        <v>290</v>
      </c>
    </row>
    <row r="292" spans="1:18" ht="17" customHeight="1">
      <c r="A292" s="4">
        <v>291</v>
      </c>
      <c r="B292" s="162">
        <v>4</v>
      </c>
      <c r="C292" s="162">
        <v>1</v>
      </c>
      <c r="D292" s="162">
        <v>1</v>
      </c>
      <c r="E292" s="133" t="s">
        <v>2043</v>
      </c>
      <c r="F292" s="133">
        <v>8</v>
      </c>
      <c r="G292" s="133">
        <v>7.5</v>
      </c>
      <c r="H292" s="133">
        <v>3</v>
      </c>
      <c r="I292" s="133">
        <v>1.5</v>
      </c>
      <c r="J292" s="133">
        <v>21.75</v>
      </c>
      <c r="K292" s="133">
        <v>76</v>
      </c>
      <c r="L292" s="133">
        <v>9.6</v>
      </c>
      <c r="M292" s="163">
        <v>227</v>
      </c>
      <c r="N292" s="38">
        <f>IF(CNC!C$14&gt;=L292,A292)</f>
        <v>291</v>
      </c>
      <c r="O292" s="25">
        <f>IF(CNC!C$15=I292,A292)</f>
        <v>291</v>
      </c>
      <c r="P292" s="25">
        <f>IF(CNC!C$16&lt;=J292,A292)</f>
        <v>291</v>
      </c>
      <c r="Q292" s="25">
        <f>IF(D292=CNC!AR$10,A292)</f>
        <v>291</v>
      </c>
      <c r="R292" s="25">
        <f t="shared" si="13"/>
        <v>291</v>
      </c>
    </row>
    <row r="293" spans="1:18" ht="17" customHeight="1">
      <c r="A293" s="4">
        <v>292</v>
      </c>
      <c r="B293" s="162">
        <v>4</v>
      </c>
      <c r="C293" s="162">
        <v>1</v>
      </c>
      <c r="D293" s="162">
        <v>1</v>
      </c>
      <c r="E293" s="133" t="s">
        <v>2044</v>
      </c>
      <c r="F293" s="133">
        <v>8</v>
      </c>
      <c r="G293" s="133">
        <v>7.5</v>
      </c>
      <c r="H293" s="133">
        <v>3</v>
      </c>
      <c r="I293" s="133">
        <v>1.5</v>
      </c>
      <c r="J293" s="133">
        <v>17.25</v>
      </c>
      <c r="K293" s="133">
        <v>76</v>
      </c>
      <c r="L293" s="133">
        <v>9.6</v>
      </c>
      <c r="M293" s="163">
        <v>206.6</v>
      </c>
      <c r="N293" s="38">
        <f>IF(CNC!C$14&gt;=L293,A293)</f>
        <v>292</v>
      </c>
      <c r="O293" s="25">
        <f>IF(CNC!C$15=I293,A293)</f>
        <v>292</v>
      </c>
      <c r="P293" s="25" t="b">
        <f>IF(CNC!C$16&lt;=J293,A293)</f>
        <v>0</v>
      </c>
      <c r="Q293" s="25">
        <f>IF(D293=CNC!AR$10,A293)</f>
        <v>292</v>
      </c>
      <c r="R293" s="25" t="b">
        <f t="shared" si="13"/>
        <v>0</v>
      </c>
    </row>
    <row r="294" spans="1:18" ht="17" customHeight="1">
      <c r="A294" s="4">
        <v>293</v>
      </c>
      <c r="B294" s="162">
        <v>4</v>
      </c>
      <c r="C294" s="162">
        <v>1</v>
      </c>
      <c r="D294" s="162">
        <v>1</v>
      </c>
      <c r="E294" s="133" t="s">
        <v>2045</v>
      </c>
      <c r="F294" s="133">
        <v>6</v>
      </c>
      <c r="G294" s="133">
        <v>6</v>
      </c>
      <c r="H294" s="133">
        <v>3</v>
      </c>
      <c r="I294" s="133">
        <v>1.25</v>
      </c>
      <c r="J294" s="133">
        <v>21.87</v>
      </c>
      <c r="K294" s="133">
        <v>63</v>
      </c>
      <c r="L294" s="133">
        <v>7.8</v>
      </c>
      <c r="M294" s="163">
        <v>197.5</v>
      </c>
      <c r="N294" s="38">
        <f>IF(CNC!C$14&gt;=L294,A294)</f>
        <v>293</v>
      </c>
      <c r="O294" s="25" t="b">
        <f>IF(CNC!C$15=I294,A294)</f>
        <v>0</v>
      </c>
      <c r="P294" s="25">
        <f>IF(CNC!C$16&lt;=J294,A294)</f>
        <v>293</v>
      </c>
      <c r="Q294" s="25">
        <f>IF(D294=CNC!AR$10,A294)</f>
        <v>293</v>
      </c>
      <c r="R294" s="25" t="b">
        <f t="shared" si="13"/>
        <v>0</v>
      </c>
    </row>
    <row r="295" spans="1:18" ht="17" customHeight="1">
      <c r="A295" s="4">
        <v>294</v>
      </c>
      <c r="B295" s="162">
        <v>4</v>
      </c>
      <c r="C295" s="162">
        <v>1</v>
      </c>
      <c r="D295" s="162">
        <v>1</v>
      </c>
      <c r="E295" s="133" t="s">
        <v>2046</v>
      </c>
      <c r="F295" s="133">
        <v>6</v>
      </c>
      <c r="G295" s="133">
        <v>6</v>
      </c>
      <c r="H295" s="133">
        <v>3</v>
      </c>
      <c r="I295" s="133">
        <v>1.25</v>
      </c>
      <c r="J295" s="133">
        <v>18.12</v>
      </c>
      <c r="K295" s="133">
        <v>63</v>
      </c>
      <c r="L295" s="133">
        <v>7.8</v>
      </c>
      <c r="M295" s="163">
        <v>179.5</v>
      </c>
      <c r="N295" s="38">
        <f>IF(CNC!C$14&gt;=L295,A295)</f>
        <v>294</v>
      </c>
      <c r="O295" s="25" t="b">
        <f>IF(CNC!C$15=I295,A295)</f>
        <v>0</v>
      </c>
      <c r="P295" s="25" t="b">
        <f>IF(CNC!C$16&lt;=J295,A295)</f>
        <v>0</v>
      </c>
      <c r="Q295" s="25">
        <f>IF(D295=CNC!AR$10,A295)</f>
        <v>294</v>
      </c>
      <c r="R295" s="25" t="b">
        <f t="shared" si="13"/>
        <v>0</v>
      </c>
    </row>
    <row r="296" spans="1:18" ht="17" customHeight="1">
      <c r="A296" s="4">
        <v>295</v>
      </c>
      <c r="B296" s="162">
        <v>4</v>
      </c>
      <c r="C296" s="162">
        <v>1</v>
      </c>
      <c r="D296" s="162">
        <v>1</v>
      </c>
      <c r="E296" s="133" t="s">
        <v>2047</v>
      </c>
      <c r="F296" s="133">
        <v>6</v>
      </c>
      <c r="G296" s="133">
        <v>6</v>
      </c>
      <c r="H296" s="133">
        <v>3</v>
      </c>
      <c r="I296" s="133">
        <v>1.25</v>
      </c>
      <c r="J296" s="133">
        <v>14.37</v>
      </c>
      <c r="K296" s="133">
        <v>63</v>
      </c>
      <c r="L296" s="133">
        <v>7.8</v>
      </c>
      <c r="M296" s="163">
        <v>163.30000000000001</v>
      </c>
      <c r="N296" s="38">
        <f>IF(CNC!C$14&gt;=L296,A296)</f>
        <v>295</v>
      </c>
      <c r="O296" s="25" t="b">
        <f>IF(CNC!C$15=I296,A296)</f>
        <v>0</v>
      </c>
      <c r="P296" s="25" t="b">
        <f>IF(CNC!C$16&lt;=J296,A296)</f>
        <v>0</v>
      </c>
      <c r="Q296" s="25">
        <f>IF(D296=CNC!AR$10,A296)</f>
        <v>295</v>
      </c>
      <c r="R296" s="25" t="b">
        <f t="shared" si="13"/>
        <v>0</v>
      </c>
    </row>
    <row r="297" spans="1:18" ht="17" customHeight="1">
      <c r="A297" s="4">
        <v>296</v>
      </c>
      <c r="B297" s="162">
        <v>4</v>
      </c>
      <c r="C297" s="162">
        <v>1</v>
      </c>
      <c r="D297" s="162">
        <v>1</v>
      </c>
      <c r="E297" s="133" t="s">
        <v>2048</v>
      </c>
      <c r="F297" s="133">
        <v>6</v>
      </c>
      <c r="G297" s="133">
        <v>4.5</v>
      </c>
      <c r="H297" s="133">
        <v>3</v>
      </c>
      <c r="I297" s="133">
        <v>1</v>
      </c>
      <c r="J297" s="133">
        <v>16.5</v>
      </c>
      <c r="K297" s="133">
        <v>63</v>
      </c>
      <c r="L297" s="133">
        <v>5.8</v>
      </c>
      <c r="M297" s="163">
        <v>197.5</v>
      </c>
      <c r="N297" s="38">
        <f>IF(CNC!C$14&gt;=L297,A297)</f>
        <v>296</v>
      </c>
      <c r="O297" s="25" t="b">
        <f>IF(CNC!C$15=I297,A297)</f>
        <v>0</v>
      </c>
      <c r="P297" s="25" t="b">
        <f>IF(CNC!C$16&lt;=J297,A297)</f>
        <v>0</v>
      </c>
      <c r="Q297" s="25">
        <f>IF(D297=CNC!AR$10,A297)</f>
        <v>296</v>
      </c>
      <c r="R297" s="25" t="b">
        <f t="shared" si="13"/>
        <v>0</v>
      </c>
    </row>
    <row r="298" spans="1:18" ht="17" customHeight="1">
      <c r="A298" s="4">
        <v>297</v>
      </c>
      <c r="B298" s="162">
        <v>4</v>
      </c>
      <c r="C298" s="162">
        <v>1</v>
      </c>
      <c r="D298" s="162">
        <v>1</v>
      </c>
      <c r="E298" s="133" t="s">
        <v>2049</v>
      </c>
      <c r="F298" s="133">
        <v>6</v>
      </c>
      <c r="G298" s="133">
        <v>4.5</v>
      </c>
      <c r="H298" s="133">
        <v>3</v>
      </c>
      <c r="I298" s="133">
        <v>1</v>
      </c>
      <c r="J298" s="133">
        <v>13.5</v>
      </c>
      <c r="K298" s="133">
        <v>63</v>
      </c>
      <c r="L298" s="133">
        <v>5.8</v>
      </c>
      <c r="M298" s="163">
        <v>179.5</v>
      </c>
      <c r="N298" s="38">
        <f>IF(CNC!C$14&gt;=L298,A298)</f>
        <v>297</v>
      </c>
      <c r="O298" s="25" t="b">
        <f>IF(CNC!C$15=I298,A298)</f>
        <v>0</v>
      </c>
      <c r="P298" s="25" t="b">
        <f>IF(CNC!C$16&lt;=J298,A298)</f>
        <v>0</v>
      </c>
      <c r="Q298" s="25">
        <f>IF(D298=CNC!AR$10,A298)</f>
        <v>297</v>
      </c>
      <c r="R298" s="25" t="b">
        <f t="shared" si="13"/>
        <v>0</v>
      </c>
    </row>
    <row r="299" spans="1:18" ht="17" customHeight="1">
      <c r="A299" s="4">
        <v>298</v>
      </c>
      <c r="B299" s="162">
        <v>4</v>
      </c>
      <c r="C299" s="162">
        <v>1</v>
      </c>
      <c r="D299" s="162">
        <v>1</v>
      </c>
      <c r="E299" s="133" t="s">
        <v>2050</v>
      </c>
      <c r="F299" s="133">
        <v>6</v>
      </c>
      <c r="G299" s="133">
        <v>4.5</v>
      </c>
      <c r="H299" s="133">
        <v>3</v>
      </c>
      <c r="I299" s="133">
        <v>1</v>
      </c>
      <c r="J299" s="133">
        <v>10.5</v>
      </c>
      <c r="K299" s="133">
        <v>63</v>
      </c>
      <c r="L299" s="133">
        <v>5.8</v>
      </c>
      <c r="M299" s="163">
        <v>163.30000000000001</v>
      </c>
      <c r="N299" s="38">
        <f>IF(CNC!C$14&gt;=L299,A299)</f>
        <v>298</v>
      </c>
      <c r="O299" s="25" t="b">
        <f>IF(CNC!C$15=I299,A299)</f>
        <v>0</v>
      </c>
      <c r="P299" s="25" t="b">
        <f>IF(CNC!C$16&lt;=J299,A299)</f>
        <v>0</v>
      </c>
      <c r="Q299" s="25">
        <f>IF(D299=CNC!AR$10,A299)</f>
        <v>298</v>
      </c>
      <c r="R299" s="25" t="b">
        <f t="shared" si="13"/>
        <v>0</v>
      </c>
    </row>
    <row r="300" spans="1:18" ht="17" customHeight="1">
      <c r="A300" s="4">
        <v>299</v>
      </c>
      <c r="B300" s="162">
        <v>4</v>
      </c>
      <c r="C300" s="162">
        <v>1</v>
      </c>
      <c r="D300" s="162">
        <v>1</v>
      </c>
      <c r="E300" s="133" t="s">
        <v>2051</v>
      </c>
      <c r="F300" s="133">
        <v>4</v>
      </c>
      <c r="G300" s="133">
        <v>3.8</v>
      </c>
      <c r="H300" s="133">
        <v>3</v>
      </c>
      <c r="I300" s="133">
        <v>0.8</v>
      </c>
      <c r="J300" s="133">
        <v>8.4</v>
      </c>
      <c r="K300" s="133">
        <v>50</v>
      </c>
      <c r="L300" s="133">
        <v>4.8</v>
      </c>
      <c r="M300" s="163">
        <v>140.5</v>
      </c>
      <c r="N300" s="38">
        <f>IF(CNC!C$14&gt;=L300,A300)</f>
        <v>299</v>
      </c>
      <c r="O300" s="25" t="b">
        <f>IF(CNC!C$15=I300,A300)</f>
        <v>0</v>
      </c>
      <c r="P300" s="25" t="b">
        <f>IF(CNC!C$16&lt;=J300,A300)</f>
        <v>0</v>
      </c>
      <c r="Q300" s="25">
        <f>IF(D300=CNC!AR$10,A300)</f>
        <v>299</v>
      </c>
      <c r="R300" s="25" t="b">
        <f t="shared" si="13"/>
        <v>0</v>
      </c>
    </row>
    <row r="301" spans="1:18" ht="17" customHeight="1">
      <c r="A301" s="4">
        <v>300</v>
      </c>
      <c r="B301" s="162">
        <v>4</v>
      </c>
      <c r="C301" s="162">
        <v>1</v>
      </c>
      <c r="D301" s="162">
        <v>1</v>
      </c>
      <c r="E301" s="133" t="s">
        <v>2052</v>
      </c>
      <c r="F301" s="133">
        <v>4</v>
      </c>
      <c r="G301" s="133">
        <v>3.8</v>
      </c>
      <c r="H301" s="133">
        <v>3</v>
      </c>
      <c r="I301" s="133">
        <v>0.8</v>
      </c>
      <c r="J301" s="133">
        <v>13.2</v>
      </c>
      <c r="K301" s="133">
        <v>50</v>
      </c>
      <c r="L301" s="133">
        <v>4.8</v>
      </c>
      <c r="M301" s="163">
        <v>170</v>
      </c>
      <c r="N301" s="38">
        <f>IF(CNC!C$14&gt;=L301,A301)</f>
        <v>300</v>
      </c>
      <c r="O301" s="25" t="b">
        <f>IF(CNC!C$15=I301,A301)</f>
        <v>0</v>
      </c>
      <c r="P301" s="25" t="b">
        <f>IF(CNC!C$16&lt;=J301,A301)</f>
        <v>0</v>
      </c>
      <c r="Q301" s="25">
        <f>IF(D301=CNC!AR$10,A301)</f>
        <v>300</v>
      </c>
      <c r="R301" s="25" t="b">
        <f t="shared" si="13"/>
        <v>0</v>
      </c>
    </row>
    <row r="302" spans="1:18" ht="17" customHeight="1">
      <c r="A302" s="4">
        <v>301</v>
      </c>
      <c r="B302" s="162">
        <v>4</v>
      </c>
      <c r="C302" s="162">
        <v>1</v>
      </c>
      <c r="D302" s="162">
        <v>1</v>
      </c>
      <c r="E302" s="133" t="s">
        <v>2053</v>
      </c>
      <c r="F302" s="133">
        <v>4</v>
      </c>
      <c r="G302" s="133">
        <v>3.8</v>
      </c>
      <c r="H302" s="133">
        <v>3</v>
      </c>
      <c r="I302" s="133">
        <v>0.8</v>
      </c>
      <c r="J302" s="133">
        <v>10.8</v>
      </c>
      <c r="K302" s="133">
        <v>50</v>
      </c>
      <c r="L302" s="133">
        <v>4.8</v>
      </c>
      <c r="M302" s="163">
        <v>154.5</v>
      </c>
      <c r="N302" s="38">
        <f>IF(CNC!C$14&gt;=L302,A302)</f>
        <v>301</v>
      </c>
      <c r="O302" s="25" t="b">
        <f>IF(CNC!C$15=I302,A302)</f>
        <v>0</v>
      </c>
      <c r="P302" s="25" t="b">
        <f>IF(CNC!C$16&lt;=J302,A302)</f>
        <v>0</v>
      </c>
      <c r="Q302" s="25">
        <f>IF(D302=CNC!AR$10,A302)</f>
        <v>301</v>
      </c>
      <c r="R302" s="25" t="b">
        <f t="shared" si="13"/>
        <v>0</v>
      </c>
    </row>
    <row r="303" spans="1:18" ht="17" customHeight="1">
      <c r="A303" s="4">
        <v>302</v>
      </c>
      <c r="B303" s="162">
        <v>1</v>
      </c>
      <c r="C303" s="162">
        <v>1</v>
      </c>
      <c r="D303" s="162">
        <v>2</v>
      </c>
      <c r="E303" s="133" t="s">
        <v>2054</v>
      </c>
      <c r="F303" s="133">
        <v>25</v>
      </c>
      <c r="G303" s="133">
        <v>25</v>
      </c>
      <c r="H303" s="133">
        <v>3</v>
      </c>
      <c r="I303" s="133">
        <v>6</v>
      </c>
      <c r="J303" s="133">
        <v>61.38</v>
      </c>
      <c r="K303" s="133">
        <v>130</v>
      </c>
      <c r="L303" s="133">
        <v>34.524999999999999</v>
      </c>
      <c r="M303" s="163">
        <v>760.1</v>
      </c>
      <c r="N303" s="38" t="b">
        <f>IF(CNC!C$14&gt;=L303,A303)</f>
        <v>0</v>
      </c>
      <c r="O303" s="25" t="b">
        <f>IF(CNC!C$15=I303,A303)</f>
        <v>0</v>
      </c>
      <c r="P303" s="25">
        <f>IF(CNC!C$16&lt;=J303,A303)</f>
        <v>302</v>
      </c>
      <c r="Q303" s="25" t="b">
        <f>IF(D303=CNC!AR$10,A303)</f>
        <v>0</v>
      </c>
      <c r="R303" s="25" t="b">
        <f t="shared" si="13"/>
        <v>0</v>
      </c>
    </row>
    <row r="304" spans="1:18" ht="17" customHeight="1">
      <c r="A304" s="4">
        <v>303</v>
      </c>
      <c r="B304" s="162">
        <v>1</v>
      </c>
      <c r="C304" s="162">
        <v>1</v>
      </c>
      <c r="D304" s="162">
        <v>1</v>
      </c>
      <c r="E304" s="133" t="s">
        <v>2224</v>
      </c>
      <c r="F304" s="133">
        <v>20</v>
      </c>
      <c r="G304" s="133">
        <v>20</v>
      </c>
      <c r="H304" s="133">
        <v>6</v>
      </c>
      <c r="I304" s="133">
        <v>2</v>
      </c>
      <c r="J304" s="133">
        <v>57</v>
      </c>
      <c r="K304" s="133">
        <v>120</v>
      </c>
      <c r="L304" s="133">
        <v>23.6</v>
      </c>
      <c r="M304" s="163">
        <v>613.1</v>
      </c>
      <c r="N304" s="38" t="b">
        <f>IF(CNC!C$14&gt;=L304,A304)</f>
        <v>0</v>
      </c>
      <c r="O304" s="25" t="b">
        <f>IF(CNC!C$15=I304,A304)</f>
        <v>0</v>
      </c>
      <c r="P304" s="25">
        <f>IF(CNC!C$16&lt;=J304,A304)</f>
        <v>303</v>
      </c>
      <c r="Q304" s="25">
        <f>IF(D304=CNC!AR$10,A304)</f>
        <v>303</v>
      </c>
      <c r="R304" s="25" t="b">
        <f t="shared" si="13"/>
        <v>0</v>
      </c>
    </row>
    <row r="305" spans="1:18" ht="17" customHeight="1">
      <c r="A305" s="4">
        <v>304</v>
      </c>
      <c r="B305" s="162">
        <v>1</v>
      </c>
      <c r="C305" s="162">
        <v>1</v>
      </c>
      <c r="D305" s="162">
        <v>1</v>
      </c>
      <c r="E305" s="133" t="s">
        <v>2055</v>
      </c>
      <c r="F305" s="133">
        <v>20</v>
      </c>
      <c r="G305" s="133">
        <v>20</v>
      </c>
      <c r="H305" s="133">
        <v>6</v>
      </c>
      <c r="I305" s="133">
        <v>2</v>
      </c>
      <c r="J305" s="133">
        <v>43</v>
      </c>
      <c r="K305" s="133">
        <v>100</v>
      </c>
      <c r="L305" s="133">
        <v>23.6</v>
      </c>
      <c r="M305" s="163">
        <v>557.4</v>
      </c>
      <c r="N305" s="38" t="b">
        <f>IF(CNC!C$14&gt;=L305,A305)</f>
        <v>0</v>
      </c>
      <c r="O305" s="25" t="b">
        <f>IF(CNC!C$15=I305,A305)</f>
        <v>0</v>
      </c>
      <c r="P305" s="25">
        <f>IF(CNC!C$16&lt;=J305,A305)</f>
        <v>304</v>
      </c>
      <c r="Q305" s="25">
        <f>IF(D305=CNC!AR$10,A305)</f>
        <v>304</v>
      </c>
      <c r="R305" s="25" t="b">
        <f t="shared" si="13"/>
        <v>0</v>
      </c>
    </row>
    <row r="306" spans="1:18" ht="17" customHeight="1">
      <c r="A306" s="4">
        <v>305</v>
      </c>
      <c r="B306" s="162">
        <v>1</v>
      </c>
      <c r="C306" s="162">
        <v>1</v>
      </c>
      <c r="D306" s="162">
        <v>1</v>
      </c>
      <c r="E306" s="133" t="s">
        <v>2225</v>
      </c>
      <c r="F306" s="133">
        <v>20</v>
      </c>
      <c r="G306" s="133">
        <v>20</v>
      </c>
      <c r="H306" s="133">
        <v>4</v>
      </c>
      <c r="I306" s="133">
        <v>3</v>
      </c>
      <c r="J306" s="133">
        <v>61.5</v>
      </c>
      <c r="K306" s="133">
        <v>150</v>
      </c>
      <c r="L306" s="133">
        <v>26.6</v>
      </c>
      <c r="M306" s="163">
        <v>613.1</v>
      </c>
      <c r="N306" s="38" t="b">
        <f>IF(CNC!C$14&gt;=L306,A306)</f>
        <v>0</v>
      </c>
      <c r="O306" s="25" t="b">
        <f>IF(CNC!C$15=I306,A306)</f>
        <v>0</v>
      </c>
      <c r="P306" s="25">
        <f>IF(CNC!C$16&lt;=J306,A306)</f>
        <v>305</v>
      </c>
      <c r="Q306" s="25">
        <f>IF(D306=CNC!AR$10,A306)</f>
        <v>305</v>
      </c>
      <c r="R306" s="25" t="b">
        <f t="shared" si="13"/>
        <v>0</v>
      </c>
    </row>
    <row r="307" spans="1:18" ht="17" customHeight="1">
      <c r="A307" s="4">
        <v>306</v>
      </c>
      <c r="B307" s="162">
        <v>1</v>
      </c>
      <c r="C307" s="162">
        <v>1</v>
      </c>
      <c r="D307" s="162">
        <v>2</v>
      </c>
      <c r="E307" s="133" t="s">
        <v>2056</v>
      </c>
      <c r="F307" s="133">
        <v>20</v>
      </c>
      <c r="G307" s="133">
        <v>20</v>
      </c>
      <c r="H307" s="133">
        <v>4</v>
      </c>
      <c r="I307" s="133">
        <v>8</v>
      </c>
      <c r="J307" s="133">
        <v>49.21</v>
      </c>
      <c r="K307" s="133">
        <v>120</v>
      </c>
      <c r="L307" s="133">
        <v>26</v>
      </c>
      <c r="M307" s="163">
        <v>557.4</v>
      </c>
      <c r="N307" s="38" t="b">
        <f>IF(CNC!C$14&gt;=L307,A307)</f>
        <v>0</v>
      </c>
      <c r="O307" s="25" t="b">
        <f>IF(CNC!C$15=I307,A307)</f>
        <v>0</v>
      </c>
      <c r="P307" s="25">
        <f>IF(CNC!C$16&lt;=J307,A307)</f>
        <v>306</v>
      </c>
      <c r="Q307" s="25" t="b">
        <f>IF(D307=CNC!AR$10,A307)</f>
        <v>0</v>
      </c>
      <c r="R307" s="25" t="b">
        <f t="shared" si="13"/>
        <v>0</v>
      </c>
    </row>
    <row r="308" spans="1:18" ht="17" customHeight="1">
      <c r="A308" s="4">
        <v>307</v>
      </c>
      <c r="B308" s="162">
        <v>1</v>
      </c>
      <c r="C308" s="162">
        <v>1</v>
      </c>
      <c r="D308" s="162">
        <v>1</v>
      </c>
      <c r="E308" s="133" t="s">
        <v>2057</v>
      </c>
      <c r="F308" s="133">
        <v>20</v>
      </c>
      <c r="G308" s="133">
        <v>20</v>
      </c>
      <c r="H308" s="133">
        <v>4</v>
      </c>
      <c r="I308" s="133">
        <v>3</v>
      </c>
      <c r="J308" s="133">
        <v>46.5</v>
      </c>
      <c r="K308" s="133">
        <v>120</v>
      </c>
      <c r="L308" s="133">
        <v>26.6</v>
      </c>
      <c r="M308" s="163">
        <v>516</v>
      </c>
      <c r="N308" s="38" t="b">
        <f>IF(CNC!C$14&gt;=L308,A308)</f>
        <v>0</v>
      </c>
      <c r="O308" s="25" t="b">
        <f>IF(CNC!C$15=I308,A308)</f>
        <v>0</v>
      </c>
      <c r="P308" s="25">
        <f>IF(CNC!C$16&lt;=J308,A308)</f>
        <v>307</v>
      </c>
      <c r="Q308" s="25">
        <f>IF(D308=CNC!AR$10,A308)</f>
        <v>307</v>
      </c>
      <c r="R308" s="25" t="b">
        <f t="shared" si="13"/>
        <v>0</v>
      </c>
    </row>
    <row r="309" spans="1:18" ht="17" customHeight="1">
      <c r="A309" s="4">
        <v>308</v>
      </c>
      <c r="B309" s="162">
        <v>1</v>
      </c>
      <c r="C309" s="162">
        <v>1</v>
      </c>
      <c r="D309" s="162">
        <v>1</v>
      </c>
      <c r="E309" s="133" t="s">
        <v>2058</v>
      </c>
      <c r="F309" s="133">
        <v>20</v>
      </c>
      <c r="G309" s="133">
        <v>20</v>
      </c>
      <c r="H309" s="133">
        <v>3</v>
      </c>
      <c r="I309" s="133">
        <v>3.5</v>
      </c>
      <c r="J309" s="133">
        <v>78.75</v>
      </c>
      <c r="K309" s="133">
        <v>150</v>
      </c>
      <c r="L309" s="133">
        <v>29.6</v>
      </c>
      <c r="M309" s="163">
        <v>674.4</v>
      </c>
      <c r="N309" s="38" t="b">
        <f>IF(CNC!C$14&gt;=L309,A309)</f>
        <v>0</v>
      </c>
      <c r="O309" s="25" t="b">
        <f>IF(CNC!C$15=I309,A309)</f>
        <v>0</v>
      </c>
      <c r="P309" s="25">
        <f>IF(CNC!C$16&lt;=J309,A309)</f>
        <v>308</v>
      </c>
      <c r="Q309" s="25">
        <f>IF(D309=CNC!AR$10,A309)</f>
        <v>308</v>
      </c>
      <c r="R309" s="25" t="b">
        <f t="shared" si="13"/>
        <v>0</v>
      </c>
    </row>
    <row r="310" spans="1:18" ht="17" customHeight="1">
      <c r="A310" s="4">
        <v>309</v>
      </c>
      <c r="B310" s="162">
        <v>1</v>
      </c>
      <c r="C310" s="162">
        <v>1</v>
      </c>
      <c r="D310" s="162">
        <v>1</v>
      </c>
      <c r="E310" s="133" t="s">
        <v>2059</v>
      </c>
      <c r="F310" s="133">
        <v>20</v>
      </c>
      <c r="G310" s="133">
        <v>20</v>
      </c>
      <c r="H310" s="133">
        <v>3</v>
      </c>
      <c r="I310" s="133">
        <v>3.5</v>
      </c>
      <c r="J310" s="133">
        <v>64.75</v>
      </c>
      <c r="K310" s="133">
        <v>150</v>
      </c>
      <c r="L310" s="133">
        <v>29.6</v>
      </c>
      <c r="M310" s="163">
        <v>613.1</v>
      </c>
      <c r="N310" s="38" t="b">
        <f>IF(CNC!C$14&gt;=L310,A310)</f>
        <v>0</v>
      </c>
      <c r="O310" s="25" t="b">
        <f>IF(CNC!C$15=I310,A310)</f>
        <v>0</v>
      </c>
      <c r="P310" s="25">
        <f>IF(CNC!C$16&lt;=J310,A310)</f>
        <v>309</v>
      </c>
      <c r="Q310" s="25">
        <f>IF(D310=CNC!AR$10,A310)</f>
        <v>309</v>
      </c>
      <c r="R310" s="25" t="b">
        <f t="shared" si="13"/>
        <v>0</v>
      </c>
    </row>
    <row r="311" spans="1:18" ht="17" customHeight="1">
      <c r="A311" s="4">
        <v>310</v>
      </c>
      <c r="B311" s="162">
        <v>1</v>
      </c>
      <c r="C311" s="162">
        <v>1</v>
      </c>
      <c r="D311" s="162">
        <v>1</v>
      </c>
      <c r="E311" s="133" t="s">
        <v>2226</v>
      </c>
      <c r="F311" s="133">
        <v>20</v>
      </c>
      <c r="G311" s="133">
        <v>20</v>
      </c>
      <c r="H311" s="133">
        <v>3</v>
      </c>
      <c r="I311" s="133">
        <v>4</v>
      </c>
      <c r="J311" s="133">
        <v>58</v>
      </c>
      <c r="K311" s="133">
        <v>150</v>
      </c>
      <c r="L311" s="133">
        <v>29.6</v>
      </c>
      <c r="M311" s="163">
        <v>613.1</v>
      </c>
      <c r="N311" s="38" t="b">
        <f>IF(CNC!C$14&gt;=L311,A311)</f>
        <v>0</v>
      </c>
      <c r="O311" s="25" t="b">
        <f>IF(CNC!C$15=I311,A311)</f>
        <v>0</v>
      </c>
      <c r="P311" s="25">
        <f>IF(CNC!C$16&lt;=J311,A311)</f>
        <v>310</v>
      </c>
      <c r="Q311" s="25">
        <f>IF(D311=CNC!AR$10,A311)</f>
        <v>310</v>
      </c>
      <c r="R311" s="25" t="b">
        <f t="shared" si="13"/>
        <v>0</v>
      </c>
    </row>
    <row r="312" spans="1:18" ht="17" customHeight="1">
      <c r="A312" s="4">
        <v>311</v>
      </c>
      <c r="B312" s="162">
        <v>1</v>
      </c>
      <c r="C312" s="162">
        <v>1</v>
      </c>
      <c r="D312" s="162">
        <v>2</v>
      </c>
      <c r="E312" s="133" t="s">
        <v>2060</v>
      </c>
      <c r="F312" s="133">
        <v>20</v>
      </c>
      <c r="G312" s="133">
        <v>20</v>
      </c>
      <c r="H312" s="133">
        <v>3</v>
      </c>
      <c r="I312" s="133">
        <v>7</v>
      </c>
      <c r="J312" s="133">
        <v>52.61</v>
      </c>
      <c r="K312" s="133">
        <v>120</v>
      </c>
      <c r="L312" s="133">
        <v>28.175000000000001</v>
      </c>
      <c r="M312" s="163">
        <v>557.4</v>
      </c>
      <c r="N312" s="38" t="b">
        <f>IF(CNC!C$14&gt;=L312,A312)</f>
        <v>0</v>
      </c>
      <c r="O312" s="25" t="b">
        <f>IF(CNC!C$15=I312,A312)</f>
        <v>0</v>
      </c>
      <c r="P312" s="25">
        <f>IF(CNC!C$16&lt;=J312,A312)</f>
        <v>311</v>
      </c>
      <c r="Q312" s="25" t="b">
        <f>IF(D312=CNC!AR$10,A312)</f>
        <v>0</v>
      </c>
      <c r="R312" s="25" t="b">
        <f t="shared" ref="R312:R375" si="14">IF(N312=FALSE,FALSE,IF(O312=FALSE,FALSE,IF(P312=FALSE,FALSE,IF(Q312=FALSE,FALSE,A312))))</f>
        <v>0</v>
      </c>
    </row>
    <row r="313" spans="1:18" ht="17" customHeight="1">
      <c r="A313" s="4">
        <v>312</v>
      </c>
      <c r="B313" s="162">
        <v>1</v>
      </c>
      <c r="C313" s="162">
        <v>1</v>
      </c>
      <c r="D313" s="162">
        <v>1</v>
      </c>
      <c r="E313" s="133" t="s">
        <v>2061</v>
      </c>
      <c r="F313" s="133">
        <v>20</v>
      </c>
      <c r="G313" s="133">
        <v>20</v>
      </c>
      <c r="H313" s="133">
        <v>3</v>
      </c>
      <c r="I313" s="133">
        <v>3.5</v>
      </c>
      <c r="J313" s="133">
        <v>50.75</v>
      </c>
      <c r="K313" s="133">
        <v>120</v>
      </c>
      <c r="L313" s="133">
        <v>29.6</v>
      </c>
      <c r="M313" s="163">
        <v>557.4</v>
      </c>
      <c r="N313" s="38" t="b">
        <f>IF(CNC!C$14&gt;=L313,A313)</f>
        <v>0</v>
      </c>
      <c r="O313" s="25" t="b">
        <f>IF(CNC!C$15=I313,A313)</f>
        <v>0</v>
      </c>
      <c r="P313" s="25">
        <f>IF(CNC!C$16&lt;=J313,A313)</f>
        <v>312</v>
      </c>
      <c r="Q313" s="25">
        <f>IF(D313=CNC!AR$10,A313)</f>
        <v>312</v>
      </c>
      <c r="R313" s="25" t="b">
        <f t="shared" si="14"/>
        <v>0</v>
      </c>
    </row>
    <row r="314" spans="1:18" ht="17" customHeight="1">
      <c r="A314" s="4">
        <v>313</v>
      </c>
      <c r="B314" s="162">
        <v>1</v>
      </c>
      <c r="C314" s="162">
        <v>1</v>
      </c>
      <c r="D314" s="162">
        <v>1</v>
      </c>
      <c r="E314" s="133" t="s">
        <v>2062</v>
      </c>
      <c r="F314" s="133">
        <v>18</v>
      </c>
      <c r="G314" s="133">
        <v>18</v>
      </c>
      <c r="H314" s="133">
        <v>3</v>
      </c>
      <c r="I314" s="133">
        <v>3</v>
      </c>
      <c r="J314" s="133">
        <v>64.5</v>
      </c>
      <c r="K314" s="133">
        <v>130</v>
      </c>
      <c r="L314" s="133">
        <v>23.6</v>
      </c>
      <c r="M314" s="163">
        <v>516</v>
      </c>
      <c r="N314" s="38" t="b">
        <f>IF(CNC!C$14&gt;=L314,A314)</f>
        <v>0</v>
      </c>
      <c r="O314" s="25" t="b">
        <f>IF(CNC!C$15=I314,A314)</f>
        <v>0</v>
      </c>
      <c r="P314" s="25">
        <f>IF(CNC!C$16&lt;=J314,A314)</f>
        <v>313</v>
      </c>
      <c r="Q314" s="25">
        <f>IF(D314=CNC!AR$10,A314)</f>
        <v>313</v>
      </c>
      <c r="R314" s="25" t="b">
        <f t="shared" si="14"/>
        <v>0</v>
      </c>
    </row>
    <row r="315" spans="1:18" ht="17" customHeight="1">
      <c r="A315" s="4">
        <v>314</v>
      </c>
      <c r="B315" s="162">
        <v>1</v>
      </c>
      <c r="C315" s="162">
        <v>1</v>
      </c>
      <c r="D315" s="162">
        <v>1</v>
      </c>
      <c r="E315" s="133" t="s">
        <v>2063</v>
      </c>
      <c r="F315" s="133">
        <v>16</v>
      </c>
      <c r="G315" s="133">
        <v>16</v>
      </c>
      <c r="H315" s="133">
        <v>6</v>
      </c>
      <c r="I315" s="133">
        <v>1.5</v>
      </c>
      <c r="J315" s="133">
        <v>35.25</v>
      </c>
      <c r="K315" s="133">
        <v>100</v>
      </c>
      <c r="L315" s="133">
        <v>19.600000000000001</v>
      </c>
      <c r="M315" s="163">
        <v>443.6</v>
      </c>
      <c r="N315" s="38" t="b">
        <f>IF(CNC!C$14&gt;=L315,A315)</f>
        <v>0</v>
      </c>
      <c r="O315" s="25">
        <f>IF(CNC!C$15=I315,A315)</f>
        <v>314</v>
      </c>
      <c r="P315" s="25">
        <f>IF(CNC!C$16&lt;=J315,A315)</f>
        <v>314</v>
      </c>
      <c r="Q315" s="25">
        <f>IF(D315=CNC!AR$10,A315)</f>
        <v>314</v>
      </c>
      <c r="R315" s="25" t="b">
        <f t="shared" si="14"/>
        <v>0</v>
      </c>
    </row>
    <row r="316" spans="1:18" ht="17" customHeight="1">
      <c r="A316" s="4">
        <v>315</v>
      </c>
      <c r="B316" s="162">
        <v>1</v>
      </c>
      <c r="C316" s="162">
        <v>1</v>
      </c>
      <c r="D316" s="162">
        <v>1</v>
      </c>
      <c r="E316" s="133" t="s">
        <v>2064</v>
      </c>
      <c r="F316" s="133">
        <v>16</v>
      </c>
      <c r="G316" s="133">
        <v>16</v>
      </c>
      <c r="H316" s="133">
        <v>6</v>
      </c>
      <c r="I316" s="133">
        <v>1.5</v>
      </c>
      <c r="J316" s="133">
        <v>26.25</v>
      </c>
      <c r="K316" s="133">
        <v>89</v>
      </c>
      <c r="L316" s="133">
        <v>19.600000000000001</v>
      </c>
      <c r="M316" s="163">
        <v>403.5</v>
      </c>
      <c r="N316" s="38" t="b">
        <f>IF(CNC!C$14&gt;=L316,A316)</f>
        <v>0</v>
      </c>
      <c r="O316" s="25">
        <f>IF(CNC!C$15=I316,A316)</f>
        <v>315</v>
      </c>
      <c r="P316" s="25">
        <f>IF(CNC!C$16&lt;=J316,A316)</f>
        <v>315</v>
      </c>
      <c r="Q316" s="25">
        <f>IF(D316=CNC!AR$10,A316)</f>
        <v>315</v>
      </c>
      <c r="R316" s="25" t="b">
        <f t="shared" si="14"/>
        <v>0</v>
      </c>
    </row>
    <row r="317" spans="1:18" ht="17" customHeight="1">
      <c r="A317" s="4">
        <v>316</v>
      </c>
      <c r="B317" s="162">
        <v>1</v>
      </c>
      <c r="C317" s="162">
        <v>1</v>
      </c>
      <c r="D317" s="162">
        <v>1</v>
      </c>
      <c r="E317" s="133" t="s">
        <v>2065</v>
      </c>
      <c r="F317" s="133">
        <v>16</v>
      </c>
      <c r="G317" s="133">
        <v>16</v>
      </c>
      <c r="H317" s="133">
        <v>6</v>
      </c>
      <c r="I317" s="133">
        <v>1.5</v>
      </c>
      <c r="J317" s="133">
        <v>18.75</v>
      </c>
      <c r="K317" s="133">
        <v>89</v>
      </c>
      <c r="L317" s="133">
        <v>19.600000000000001</v>
      </c>
      <c r="M317" s="163">
        <v>366.8</v>
      </c>
      <c r="N317" s="38" t="b">
        <f>IF(CNC!C$14&gt;=L317,A317)</f>
        <v>0</v>
      </c>
      <c r="O317" s="25">
        <f>IF(CNC!C$15=I317,A317)</f>
        <v>316</v>
      </c>
      <c r="P317" s="25" t="b">
        <f>IF(CNC!C$16&lt;=J317,A317)</f>
        <v>0</v>
      </c>
      <c r="Q317" s="25">
        <f>IF(D317=CNC!AR$10,A317)</f>
        <v>316</v>
      </c>
      <c r="R317" s="25" t="b">
        <f t="shared" si="14"/>
        <v>0</v>
      </c>
    </row>
    <row r="318" spans="1:18" ht="17" customHeight="1">
      <c r="A318" s="4">
        <v>317</v>
      </c>
      <c r="B318" s="162">
        <v>1</v>
      </c>
      <c r="C318" s="162">
        <v>1</v>
      </c>
      <c r="D318" s="162">
        <v>2</v>
      </c>
      <c r="E318" s="133" t="s">
        <v>2066</v>
      </c>
      <c r="F318" s="133">
        <v>16</v>
      </c>
      <c r="G318" s="133">
        <v>16</v>
      </c>
      <c r="H318" s="133">
        <v>5</v>
      </c>
      <c r="I318" s="133">
        <v>14</v>
      </c>
      <c r="J318" s="133">
        <v>46.26</v>
      </c>
      <c r="K318" s="133">
        <v>120</v>
      </c>
      <c r="L318" s="133">
        <v>21.824999999999999</v>
      </c>
      <c r="M318" s="163">
        <v>488.1</v>
      </c>
      <c r="N318" s="38" t="b">
        <f>IF(CNC!C$14&gt;=L318,A318)</f>
        <v>0</v>
      </c>
      <c r="O318" s="25" t="b">
        <f>IF(CNC!C$15=I318,A318)</f>
        <v>0</v>
      </c>
      <c r="P318" s="25">
        <f>IF(CNC!C$16&lt;=J318,A318)</f>
        <v>317</v>
      </c>
      <c r="Q318" s="25" t="b">
        <f>IF(D318=CNC!AR$10,A318)</f>
        <v>0</v>
      </c>
      <c r="R318" s="25" t="b">
        <f t="shared" si="14"/>
        <v>0</v>
      </c>
    </row>
    <row r="319" spans="1:18" ht="17" customHeight="1">
      <c r="A319" s="4">
        <v>318</v>
      </c>
      <c r="B319" s="162">
        <v>1</v>
      </c>
      <c r="C319" s="162">
        <v>1</v>
      </c>
      <c r="D319" s="162">
        <v>2</v>
      </c>
      <c r="E319" s="133" t="s">
        <v>2067</v>
      </c>
      <c r="F319" s="133">
        <v>16</v>
      </c>
      <c r="G319" s="133">
        <v>16</v>
      </c>
      <c r="H319" s="133">
        <v>5</v>
      </c>
      <c r="I319" s="133">
        <v>12</v>
      </c>
      <c r="J319" s="133">
        <v>43.39</v>
      </c>
      <c r="K319" s="133">
        <v>100</v>
      </c>
      <c r="L319" s="133">
        <v>25</v>
      </c>
      <c r="M319" s="163">
        <v>443.6</v>
      </c>
      <c r="N319" s="38" t="b">
        <f>IF(CNC!C$14&gt;=L319,A319)</f>
        <v>0</v>
      </c>
      <c r="O319" s="25" t="b">
        <f>IF(CNC!C$15=I319,A319)</f>
        <v>0</v>
      </c>
      <c r="P319" s="25">
        <f>IF(CNC!C$16&lt;=J319,A319)</f>
        <v>318</v>
      </c>
      <c r="Q319" s="25" t="b">
        <f>IF(D319=CNC!AR$10,A319)</f>
        <v>0</v>
      </c>
      <c r="R319" s="25" t="b">
        <f t="shared" si="14"/>
        <v>0</v>
      </c>
    </row>
    <row r="320" spans="1:18" ht="17" customHeight="1">
      <c r="A320" s="4">
        <v>319</v>
      </c>
      <c r="B320" s="162">
        <v>1</v>
      </c>
      <c r="C320" s="162">
        <v>1</v>
      </c>
      <c r="D320" s="162">
        <v>1</v>
      </c>
      <c r="E320" s="133" t="s">
        <v>2068</v>
      </c>
      <c r="F320" s="133">
        <v>16</v>
      </c>
      <c r="G320" s="133">
        <v>16</v>
      </c>
      <c r="H320" s="133">
        <v>5</v>
      </c>
      <c r="I320" s="133">
        <v>2</v>
      </c>
      <c r="J320" s="133">
        <v>39</v>
      </c>
      <c r="K320" s="133">
        <v>100</v>
      </c>
      <c r="L320" s="133">
        <v>19.600000000000001</v>
      </c>
      <c r="M320" s="163">
        <v>443.6</v>
      </c>
      <c r="N320" s="38" t="b">
        <f>IF(CNC!C$14&gt;=L320,A320)</f>
        <v>0</v>
      </c>
      <c r="O320" s="25" t="b">
        <f>IF(CNC!C$15=I320,A320)</f>
        <v>0</v>
      </c>
      <c r="P320" s="25">
        <f>IF(CNC!C$16&lt;=J320,A320)</f>
        <v>319</v>
      </c>
      <c r="Q320" s="25">
        <f>IF(D320=CNC!AR$10,A320)</f>
        <v>319</v>
      </c>
      <c r="R320" s="25" t="b">
        <f t="shared" si="14"/>
        <v>0</v>
      </c>
    </row>
    <row r="321" spans="1:18" ht="17" customHeight="1">
      <c r="A321" s="4">
        <v>320</v>
      </c>
      <c r="B321" s="162">
        <v>1</v>
      </c>
      <c r="C321" s="162">
        <v>1</v>
      </c>
      <c r="D321" s="162">
        <v>2</v>
      </c>
      <c r="E321" s="133" t="s">
        <v>2069</v>
      </c>
      <c r="F321" s="133">
        <v>16</v>
      </c>
      <c r="G321" s="133">
        <v>16</v>
      </c>
      <c r="H321" s="133">
        <v>5</v>
      </c>
      <c r="I321" s="133">
        <v>16</v>
      </c>
      <c r="J321" s="133">
        <v>35.72</v>
      </c>
      <c r="K321" s="133">
        <v>100</v>
      </c>
      <c r="L321" s="133">
        <v>19</v>
      </c>
      <c r="M321" s="163">
        <v>443.6</v>
      </c>
      <c r="N321" s="38" t="b">
        <f>IF(CNC!C$14&gt;=L321,A321)</f>
        <v>0</v>
      </c>
      <c r="O321" s="25" t="b">
        <f>IF(CNC!C$15=I321,A321)</f>
        <v>0</v>
      </c>
      <c r="P321" s="25">
        <f>IF(CNC!C$16&lt;=J321,A321)</f>
        <v>320</v>
      </c>
      <c r="Q321" s="25" t="b">
        <f>IF(D321=CNC!AR$10,A321)</f>
        <v>0</v>
      </c>
      <c r="R321" s="25" t="b">
        <f t="shared" si="14"/>
        <v>0</v>
      </c>
    </row>
    <row r="322" spans="1:18" ht="17" customHeight="1">
      <c r="A322" s="4">
        <v>321</v>
      </c>
      <c r="B322" s="162">
        <v>1</v>
      </c>
      <c r="C322" s="162">
        <v>1</v>
      </c>
      <c r="D322" s="162">
        <v>2</v>
      </c>
      <c r="E322" s="133" t="s">
        <v>2070</v>
      </c>
      <c r="F322" s="133">
        <v>16</v>
      </c>
      <c r="G322" s="133">
        <v>16</v>
      </c>
      <c r="H322" s="133">
        <v>5</v>
      </c>
      <c r="I322" s="133">
        <v>14</v>
      </c>
      <c r="J322" s="133">
        <v>35.380000000000003</v>
      </c>
      <c r="K322" s="133">
        <v>100</v>
      </c>
      <c r="L322" s="133">
        <v>21.824999999999999</v>
      </c>
      <c r="M322" s="163">
        <v>443.6</v>
      </c>
      <c r="N322" s="38" t="b">
        <f>IF(CNC!C$14&gt;=L322,A322)</f>
        <v>0</v>
      </c>
      <c r="O322" s="25" t="b">
        <f>IF(CNC!C$15=I322,A322)</f>
        <v>0</v>
      </c>
      <c r="P322" s="25">
        <f>IF(CNC!C$16&lt;=J322,A322)</f>
        <v>321</v>
      </c>
      <c r="Q322" s="25" t="b">
        <f>IF(D322=CNC!AR$10,A322)</f>
        <v>0</v>
      </c>
      <c r="R322" s="25" t="b">
        <f t="shared" si="14"/>
        <v>0</v>
      </c>
    </row>
    <row r="323" spans="1:18" ht="17" customHeight="1">
      <c r="A323" s="4">
        <v>322</v>
      </c>
      <c r="B323" s="162">
        <v>1</v>
      </c>
      <c r="C323" s="162">
        <v>1</v>
      </c>
      <c r="D323" s="162">
        <v>1</v>
      </c>
      <c r="E323" s="133" t="s">
        <v>2071</v>
      </c>
      <c r="F323" s="133">
        <v>16</v>
      </c>
      <c r="G323" s="133">
        <v>16</v>
      </c>
      <c r="H323" s="133">
        <v>5</v>
      </c>
      <c r="I323" s="133">
        <v>2</v>
      </c>
      <c r="J323" s="133">
        <v>29</v>
      </c>
      <c r="K323" s="133">
        <v>89</v>
      </c>
      <c r="L323" s="133">
        <v>19.600000000000001</v>
      </c>
      <c r="M323" s="163">
        <v>403.5</v>
      </c>
      <c r="N323" s="38" t="b">
        <f>IF(CNC!C$14&gt;=L323,A323)</f>
        <v>0</v>
      </c>
      <c r="O323" s="25" t="b">
        <f>IF(CNC!C$15=I323,A323)</f>
        <v>0</v>
      </c>
      <c r="P323" s="25">
        <f>IF(CNC!C$16&lt;=J323,A323)</f>
        <v>322</v>
      </c>
      <c r="Q323" s="25">
        <f>IF(D323=CNC!AR$10,A323)</f>
        <v>322</v>
      </c>
      <c r="R323" s="25" t="b">
        <f t="shared" si="14"/>
        <v>0</v>
      </c>
    </row>
    <row r="324" spans="1:18" ht="17" customHeight="1">
      <c r="A324" s="4">
        <v>323</v>
      </c>
      <c r="B324" s="162">
        <v>1</v>
      </c>
      <c r="C324" s="162">
        <v>1</v>
      </c>
      <c r="D324" s="162">
        <v>2</v>
      </c>
      <c r="E324" s="133" t="s">
        <v>2072</v>
      </c>
      <c r="F324" s="133">
        <v>16</v>
      </c>
      <c r="G324" s="133">
        <v>16</v>
      </c>
      <c r="H324" s="133">
        <v>3</v>
      </c>
      <c r="I324" s="133">
        <v>8</v>
      </c>
      <c r="J324" s="133">
        <v>55.56</v>
      </c>
      <c r="K324" s="133">
        <v>120</v>
      </c>
      <c r="L324" s="133">
        <v>25</v>
      </c>
      <c r="M324" s="163">
        <v>443.6</v>
      </c>
      <c r="N324" s="38" t="b">
        <f>IF(CNC!C$14&gt;=L324,A324)</f>
        <v>0</v>
      </c>
      <c r="O324" s="25" t="b">
        <f>IF(CNC!C$15=I324,A324)</f>
        <v>0</v>
      </c>
      <c r="P324" s="25">
        <f>IF(CNC!C$16&lt;=J324,A324)</f>
        <v>323</v>
      </c>
      <c r="Q324" s="25" t="b">
        <f>IF(D324=CNC!AR$10,A324)</f>
        <v>0</v>
      </c>
      <c r="R324" s="25" t="b">
        <f t="shared" si="14"/>
        <v>0</v>
      </c>
    </row>
    <row r="325" spans="1:18" ht="17" customHeight="1">
      <c r="A325" s="4">
        <v>324</v>
      </c>
      <c r="B325" s="162">
        <v>1</v>
      </c>
      <c r="C325" s="162">
        <v>1</v>
      </c>
      <c r="D325" s="162">
        <v>1</v>
      </c>
      <c r="E325" s="133" t="s">
        <v>2073</v>
      </c>
      <c r="F325" s="133">
        <v>16</v>
      </c>
      <c r="G325" s="133">
        <v>16</v>
      </c>
      <c r="H325" s="133">
        <v>3</v>
      </c>
      <c r="I325" s="133">
        <v>3</v>
      </c>
      <c r="J325" s="133">
        <v>52.5</v>
      </c>
      <c r="K325" s="133">
        <v>120</v>
      </c>
      <c r="L325" s="133">
        <v>23.6</v>
      </c>
      <c r="M325" s="163">
        <v>443.6</v>
      </c>
      <c r="N325" s="38" t="b">
        <f>IF(CNC!C$14&gt;=L325,A325)</f>
        <v>0</v>
      </c>
      <c r="O325" s="25" t="b">
        <f>IF(CNC!C$15=I325,A325)</f>
        <v>0</v>
      </c>
      <c r="P325" s="25">
        <f>IF(CNC!C$16&lt;=J325,A325)</f>
        <v>324</v>
      </c>
      <c r="Q325" s="25">
        <f>IF(D325=CNC!AR$10,A325)</f>
        <v>324</v>
      </c>
      <c r="R325" s="25" t="b">
        <f t="shared" si="14"/>
        <v>0</v>
      </c>
    </row>
    <row r="326" spans="1:18" ht="17" customHeight="1">
      <c r="A326" s="4">
        <v>325</v>
      </c>
      <c r="B326" s="162">
        <v>1</v>
      </c>
      <c r="C326" s="162">
        <v>1</v>
      </c>
      <c r="D326" s="162">
        <v>2</v>
      </c>
      <c r="E326" s="133" t="s">
        <v>2074</v>
      </c>
      <c r="F326" s="133">
        <v>16</v>
      </c>
      <c r="G326" s="133">
        <v>16</v>
      </c>
      <c r="H326" s="133">
        <v>3</v>
      </c>
      <c r="I326" s="133">
        <v>9</v>
      </c>
      <c r="J326" s="133">
        <v>49.39</v>
      </c>
      <c r="K326" s="133">
        <v>120</v>
      </c>
      <c r="L326" s="133">
        <v>21.824999999999999</v>
      </c>
      <c r="M326" s="163">
        <v>443.6</v>
      </c>
      <c r="N326" s="38" t="b">
        <f>IF(CNC!C$14&gt;=L326,A326)</f>
        <v>0</v>
      </c>
      <c r="O326" s="25" t="b">
        <f>IF(CNC!C$15=I326,A326)</f>
        <v>0</v>
      </c>
      <c r="P326" s="25">
        <f>IF(CNC!C$16&lt;=J326,A326)</f>
        <v>325</v>
      </c>
      <c r="Q326" s="25" t="b">
        <f>IF(D326=CNC!AR$10,A326)</f>
        <v>0</v>
      </c>
      <c r="R326" s="25" t="b">
        <f t="shared" si="14"/>
        <v>0</v>
      </c>
    </row>
    <row r="327" spans="1:18" ht="17" customHeight="1">
      <c r="A327" s="4">
        <v>326</v>
      </c>
      <c r="B327" s="162">
        <v>1</v>
      </c>
      <c r="C327" s="162">
        <v>1</v>
      </c>
      <c r="D327" s="162">
        <v>2</v>
      </c>
      <c r="E327" s="133" t="s">
        <v>2075</v>
      </c>
      <c r="F327" s="133">
        <v>16</v>
      </c>
      <c r="G327" s="133">
        <v>16</v>
      </c>
      <c r="H327" s="133">
        <v>3</v>
      </c>
      <c r="I327" s="133">
        <v>8</v>
      </c>
      <c r="J327" s="133">
        <v>42.86</v>
      </c>
      <c r="K327" s="133">
        <v>100</v>
      </c>
      <c r="L327" s="133">
        <v>25</v>
      </c>
      <c r="M327" s="163">
        <v>403.5</v>
      </c>
      <c r="N327" s="38" t="b">
        <f>IF(CNC!C$14&gt;=L327,A327)</f>
        <v>0</v>
      </c>
      <c r="O327" s="25" t="b">
        <f>IF(CNC!C$15=I327,A327)</f>
        <v>0</v>
      </c>
      <c r="P327" s="25">
        <f>IF(CNC!C$16&lt;=J327,A327)</f>
        <v>326</v>
      </c>
      <c r="Q327" s="25" t="b">
        <f>IF(D327=CNC!AR$10,A327)</f>
        <v>0</v>
      </c>
      <c r="R327" s="25" t="b">
        <f t="shared" si="14"/>
        <v>0</v>
      </c>
    </row>
    <row r="328" spans="1:18" ht="17" customHeight="1">
      <c r="A328" s="4">
        <v>327</v>
      </c>
      <c r="B328" s="162">
        <v>1</v>
      </c>
      <c r="C328" s="162">
        <v>1</v>
      </c>
      <c r="D328" s="162">
        <v>1</v>
      </c>
      <c r="E328" s="133" t="s">
        <v>2076</v>
      </c>
      <c r="F328" s="133">
        <v>16</v>
      </c>
      <c r="G328" s="133">
        <v>16</v>
      </c>
      <c r="H328" s="133">
        <v>3</v>
      </c>
      <c r="I328" s="133">
        <v>3</v>
      </c>
      <c r="J328" s="133">
        <v>40.5</v>
      </c>
      <c r="K328" s="133">
        <v>100</v>
      </c>
      <c r="L328" s="133">
        <v>23.6</v>
      </c>
      <c r="M328" s="163">
        <v>403.5</v>
      </c>
      <c r="N328" s="38" t="b">
        <f>IF(CNC!C$14&gt;=L328,A328)</f>
        <v>0</v>
      </c>
      <c r="O328" s="25" t="b">
        <f>IF(CNC!C$15=I328,A328)</f>
        <v>0</v>
      </c>
      <c r="P328" s="25">
        <f>IF(CNC!C$16&lt;=J328,A328)</f>
        <v>327</v>
      </c>
      <c r="Q328" s="25">
        <f>IF(D328=CNC!AR$10,A328)</f>
        <v>327</v>
      </c>
      <c r="R328" s="25" t="b">
        <f t="shared" si="14"/>
        <v>0</v>
      </c>
    </row>
    <row r="329" spans="1:18" ht="17" customHeight="1">
      <c r="A329" s="4">
        <v>328</v>
      </c>
      <c r="B329" s="162">
        <v>1</v>
      </c>
      <c r="C329" s="162">
        <v>1</v>
      </c>
      <c r="D329" s="162">
        <v>2</v>
      </c>
      <c r="E329" s="133" t="s">
        <v>2077</v>
      </c>
      <c r="F329" s="133">
        <v>16</v>
      </c>
      <c r="G329" s="133">
        <v>16</v>
      </c>
      <c r="H329" s="133">
        <v>3</v>
      </c>
      <c r="I329" s="133">
        <v>9</v>
      </c>
      <c r="J329" s="133">
        <v>38.1</v>
      </c>
      <c r="K329" s="133">
        <v>100</v>
      </c>
      <c r="L329" s="133">
        <v>21.824999999999999</v>
      </c>
      <c r="M329" s="163">
        <v>403.5</v>
      </c>
      <c r="N329" s="38" t="b">
        <f>IF(CNC!C$14&gt;=L329,A329)</f>
        <v>0</v>
      </c>
      <c r="O329" s="25" t="b">
        <f>IF(CNC!C$15=I329,A329)</f>
        <v>0</v>
      </c>
      <c r="P329" s="25">
        <f>IF(CNC!C$16&lt;=J329,A329)</f>
        <v>328</v>
      </c>
      <c r="Q329" s="25" t="b">
        <f>IF(D329=CNC!AR$10,A329)</f>
        <v>0</v>
      </c>
      <c r="R329" s="25" t="b">
        <f t="shared" si="14"/>
        <v>0</v>
      </c>
    </row>
    <row r="330" spans="1:18" ht="17" customHeight="1">
      <c r="A330" s="4">
        <v>329</v>
      </c>
      <c r="B330" s="162">
        <v>1</v>
      </c>
      <c r="C330" s="162">
        <v>1</v>
      </c>
      <c r="D330" s="162">
        <v>1</v>
      </c>
      <c r="E330" s="133" t="s">
        <v>2078</v>
      </c>
      <c r="F330" s="133">
        <v>16</v>
      </c>
      <c r="G330" s="133">
        <v>15</v>
      </c>
      <c r="H330" s="133">
        <v>4</v>
      </c>
      <c r="I330" s="133">
        <v>2.5</v>
      </c>
      <c r="J330" s="133">
        <v>53.75</v>
      </c>
      <c r="K330" s="133">
        <v>120</v>
      </c>
      <c r="L330" s="133">
        <v>19.600000000000001</v>
      </c>
      <c r="M330" s="163">
        <v>443.6</v>
      </c>
      <c r="N330" s="38" t="b">
        <f>IF(CNC!C$14&gt;=L330,A330)</f>
        <v>0</v>
      </c>
      <c r="O330" s="25" t="b">
        <f>IF(CNC!C$15=I330,A330)</f>
        <v>0</v>
      </c>
      <c r="P330" s="25">
        <f>IF(CNC!C$16&lt;=J330,A330)</f>
        <v>329</v>
      </c>
      <c r="Q330" s="25">
        <f>IF(D330=CNC!AR$10,A330)</f>
        <v>329</v>
      </c>
      <c r="R330" s="25" t="b">
        <f t="shared" si="14"/>
        <v>0</v>
      </c>
    </row>
    <row r="331" spans="1:18" ht="17" customHeight="1">
      <c r="A331" s="4">
        <v>330</v>
      </c>
      <c r="B331" s="162">
        <v>1</v>
      </c>
      <c r="C331" s="162">
        <v>1</v>
      </c>
      <c r="D331" s="162">
        <v>1</v>
      </c>
      <c r="E331" s="133" t="s">
        <v>2079</v>
      </c>
      <c r="F331" s="133">
        <v>16</v>
      </c>
      <c r="G331" s="133">
        <v>15</v>
      </c>
      <c r="H331" s="133">
        <v>3</v>
      </c>
      <c r="I331" s="133">
        <v>2.5</v>
      </c>
      <c r="J331" s="133">
        <v>63.75</v>
      </c>
      <c r="K331" s="133">
        <v>120</v>
      </c>
      <c r="L331" s="133">
        <v>19.600000000000001</v>
      </c>
      <c r="M331" s="163">
        <v>488</v>
      </c>
      <c r="N331" s="38" t="b">
        <f>IF(CNC!C$14&gt;=L331,A331)</f>
        <v>0</v>
      </c>
      <c r="O331" s="25" t="b">
        <f>IF(CNC!C$15=I331,A331)</f>
        <v>0</v>
      </c>
      <c r="P331" s="25">
        <f>IF(CNC!C$16&lt;=J331,A331)</f>
        <v>330</v>
      </c>
      <c r="Q331" s="25">
        <f>IF(D331=CNC!AR$10,A331)</f>
        <v>330</v>
      </c>
      <c r="R331" s="25" t="b">
        <f t="shared" si="14"/>
        <v>0</v>
      </c>
    </row>
    <row r="332" spans="1:18" ht="17" customHeight="1">
      <c r="A332" s="4">
        <v>331</v>
      </c>
      <c r="B332" s="162">
        <v>1</v>
      </c>
      <c r="C332" s="162">
        <v>1</v>
      </c>
      <c r="D332" s="162">
        <v>1</v>
      </c>
      <c r="E332" s="133" t="s">
        <v>2080</v>
      </c>
      <c r="F332" s="133">
        <v>14</v>
      </c>
      <c r="G332" s="133">
        <v>14</v>
      </c>
      <c r="H332" s="133">
        <v>4</v>
      </c>
      <c r="I332" s="133">
        <v>2.5</v>
      </c>
      <c r="J332" s="133">
        <v>43.75</v>
      </c>
      <c r="K332" s="133">
        <v>100</v>
      </c>
      <c r="L332" s="133">
        <v>19.600000000000001</v>
      </c>
      <c r="M332" s="163">
        <v>383.3</v>
      </c>
      <c r="N332" s="38" t="b">
        <f>IF(CNC!C$14&gt;=L332,A332)</f>
        <v>0</v>
      </c>
      <c r="O332" s="25" t="b">
        <f>IF(CNC!C$15=I332,A332)</f>
        <v>0</v>
      </c>
      <c r="P332" s="25">
        <f>IF(CNC!C$16&lt;=J332,A332)</f>
        <v>331</v>
      </c>
      <c r="Q332" s="25">
        <f>IF(D332=CNC!AR$10,A332)</f>
        <v>331</v>
      </c>
      <c r="R332" s="25" t="b">
        <f t="shared" si="14"/>
        <v>0</v>
      </c>
    </row>
    <row r="333" spans="1:18" ht="17" customHeight="1">
      <c r="A333" s="4">
        <v>332</v>
      </c>
      <c r="B333" s="162">
        <v>1</v>
      </c>
      <c r="C333" s="162">
        <v>1</v>
      </c>
      <c r="D333" s="162">
        <v>1</v>
      </c>
      <c r="E333" s="133" t="s">
        <v>2081</v>
      </c>
      <c r="F333" s="133">
        <v>14</v>
      </c>
      <c r="G333" s="133">
        <v>14</v>
      </c>
      <c r="H333" s="133">
        <v>4</v>
      </c>
      <c r="I333" s="133">
        <v>2.5</v>
      </c>
      <c r="J333" s="133">
        <v>33.75</v>
      </c>
      <c r="K333" s="133">
        <v>89</v>
      </c>
      <c r="L333" s="133">
        <v>19.600000000000001</v>
      </c>
      <c r="M333" s="163">
        <v>348.6</v>
      </c>
      <c r="N333" s="38" t="b">
        <f>IF(CNC!C$14&gt;=L333,A333)</f>
        <v>0</v>
      </c>
      <c r="O333" s="25" t="b">
        <f>IF(CNC!C$15=I333,A333)</f>
        <v>0</v>
      </c>
      <c r="P333" s="25">
        <f>IF(CNC!C$16&lt;=J333,A333)</f>
        <v>332</v>
      </c>
      <c r="Q333" s="25">
        <f>IF(D333=CNC!AR$10,A333)</f>
        <v>332</v>
      </c>
      <c r="R333" s="25" t="b">
        <f t="shared" si="14"/>
        <v>0</v>
      </c>
    </row>
    <row r="334" spans="1:18" ht="17" customHeight="1">
      <c r="A334" s="4">
        <v>333</v>
      </c>
      <c r="B334" s="162">
        <v>1</v>
      </c>
      <c r="C334" s="162">
        <v>1</v>
      </c>
      <c r="D334" s="162">
        <v>1</v>
      </c>
      <c r="E334" s="133" t="s">
        <v>2082</v>
      </c>
      <c r="F334" s="133">
        <v>12</v>
      </c>
      <c r="G334" s="133">
        <v>12</v>
      </c>
      <c r="H334" s="133">
        <v>6</v>
      </c>
      <c r="I334" s="133">
        <v>1</v>
      </c>
      <c r="J334" s="133">
        <v>21.5</v>
      </c>
      <c r="K334" s="133">
        <v>83</v>
      </c>
      <c r="L334" s="133">
        <v>13.6</v>
      </c>
      <c r="M334" s="163">
        <v>308.60000000000002</v>
      </c>
      <c r="N334" s="38" t="b">
        <f>IF(CNC!C$14&gt;=L334,A334)</f>
        <v>0</v>
      </c>
      <c r="O334" s="25" t="b">
        <f>IF(CNC!C$15=I334,A334)</f>
        <v>0</v>
      </c>
      <c r="P334" s="25">
        <f>IF(CNC!C$16&lt;=J334,A334)</f>
        <v>333</v>
      </c>
      <c r="Q334" s="25">
        <f>IF(D334=CNC!AR$10,A334)</f>
        <v>333</v>
      </c>
      <c r="R334" s="25" t="b">
        <f t="shared" si="14"/>
        <v>0</v>
      </c>
    </row>
    <row r="335" spans="1:18" ht="17" customHeight="1">
      <c r="A335" s="4">
        <v>334</v>
      </c>
      <c r="B335" s="162">
        <v>1</v>
      </c>
      <c r="C335" s="162">
        <v>1</v>
      </c>
      <c r="D335" s="162">
        <v>1</v>
      </c>
      <c r="E335" s="133" t="s">
        <v>2083</v>
      </c>
      <c r="F335" s="133">
        <v>12</v>
      </c>
      <c r="G335" s="133">
        <v>12</v>
      </c>
      <c r="H335" s="133">
        <v>6</v>
      </c>
      <c r="I335" s="133">
        <v>1</v>
      </c>
      <c r="J335" s="133">
        <v>15.5</v>
      </c>
      <c r="K335" s="133">
        <v>83</v>
      </c>
      <c r="L335" s="133">
        <v>13.6</v>
      </c>
      <c r="M335" s="163">
        <v>280.39999999999998</v>
      </c>
      <c r="N335" s="38" t="b">
        <f>IF(CNC!C$14&gt;=L335,A335)</f>
        <v>0</v>
      </c>
      <c r="O335" s="25" t="b">
        <f>IF(CNC!C$15=I335,A335)</f>
        <v>0</v>
      </c>
      <c r="P335" s="25" t="b">
        <f>IF(CNC!C$16&lt;=J335,A335)</f>
        <v>0</v>
      </c>
      <c r="Q335" s="25">
        <f>IF(D335=CNC!AR$10,A335)</f>
        <v>334</v>
      </c>
      <c r="R335" s="25" t="b">
        <f t="shared" si="14"/>
        <v>0</v>
      </c>
    </row>
    <row r="336" spans="1:18" ht="17" customHeight="1">
      <c r="A336" s="4">
        <v>335</v>
      </c>
      <c r="B336" s="162">
        <v>1</v>
      </c>
      <c r="C336" s="162">
        <v>1</v>
      </c>
      <c r="D336" s="162">
        <v>1</v>
      </c>
      <c r="E336" s="133" t="s">
        <v>2223</v>
      </c>
      <c r="F336" s="133">
        <v>12</v>
      </c>
      <c r="G336" s="133">
        <v>12</v>
      </c>
      <c r="H336" s="133">
        <v>5</v>
      </c>
      <c r="I336" s="133">
        <v>1.5</v>
      </c>
      <c r="J336" s="133">
        <v>29.25</v>
      </c>
      <c r="K336" s="133">
        <v>83</v>
      </c>
      <c r="L336" s="133">
        <v>15.6</v>
      </c>
      <c r="M336" s="163">
        <v>308.60000000000002</v>
      </c>
      <c r="N336" s="38" t="b">
        <f>IF(CNC!C$14&gt;=L336,A336)</f>
        <v>0</v>
      </c>
      <c r="O336" s="25">
        <f>IF(CNC!C$15=I336,A336)</f>
        <v>335</v>
      </c>
      <c r="P336" s="25">
        <f>IF(CNC!C$16&lt;=J336,A336)</f>
        <v>335</v>
      </c>
      <c r="Q336" s="25">
        <f>IF(D336=CNC!AR$10,A336)</f>
        <v>335</v>
      </c>
      <c r="R336" s="25" t="b">
        <f t="shared" si="14"/>
        <v>0</v>
      </c>
    </row>
    <row r="337" spans="1:18" ht="17" customHeight="1">
      <c r="A337" s="4">
        <v>336</v>
      </c>
      <c r="B337" s="162">
        <v>1</v>
      </c>
      <c r="C337" s="162">
        <v>1</v>
      </c>
      <c r="D337" s="162">
        <v>2</v>
      </c>
      <c r="E337" s="133" t="s">
        <v>2084</v>
      </c>
      <c r="F337" s="133">
        <v>12</v>
      </c>
      <c r="G337" s="133">
        <v>12</v>
      </c>
      <c r="H337" s="133">
        <v>5</v>
      </c>
      <c r="I337" s="133">
        <v>20</v>
      </c>
      <c r="J337" s="133">
        <v>28.57</v>
      </c>
      <c r="K337" s="133">
        <v>83</v>
      </c>
      <c r="L337" s="133">
        <v>14.4</v>
      </c>
      <c r="M337" s="163">
        <v>308.60000000000002</v>
      </c>
      <c r="N337" s="38" t="b">
        <f>IF(CNC!C$14&gt;=L337,A337)</f>
        <v>0</v>
      </c>
      <c r="O337" s="25" t="b">
        <f>IF(CNC!C$15=I337,A337)</f>
        <v>0</v>
      </c>
      <c r="P337" s="25">
        <f>IF(CNC!C$16&lt;=J337,A337)</f>
        <v>336</v>
      </c>
      <c r="Q337" s="25" t="b">
        <f>IF(D337=CNC!AR$10,A337)</f>
        <v>0</v>
      </c>
      <c r="R337" s="25" t="b">
        <f t="shared" si="14"/>
        <v>0</v>
      </c>
    </row>
    <row r="338" spans="1:18" ht="17" customHeight="1">
      <c r="A338" s="4">
        <v>337</v>
      </c>
      <c r="B338" s="162">
        <v>1</v>
      </c>
      <c r="C338" s="162">
        <v>1</v>
      </c>
      <c r="D338" s="162">
        <v>1</v>
      </c>
      <c r="E338" s="133" t="s">
        <v>2222</v>
      </c>
      <c r="F338" s="133">
        <v>12</v>
      </c>
      <c r="G338" s="133">
        <v>12</v>
      </c>
      <c r="H338" s="133">
        <v>5</v>
      </c>
      <c r="I338" s="133">
        <v>1.5</v>
      </c>
      <c r="J338" s="133">
        <v>21.75</v>
      </c>
      <c r="K338" s="133">
        <v>83</v>
      </c>
      <c r="L338" s="133">
        <v>15.6</v>
      </c>
      <c r="M338" s="163">
        <v>280.39999999999998</v>
      </c>
      <c r="N338" s="38" t="b">
        <f>IF(CNC!C$14&gt;=L338,A338)</f>
        <v>0</v>
      </c>
      <c r="O338" s="25">
        <f>IF(CNC!C$15=I338,A338)</f>
        <v>337</v>
      </c>
      <c r="P338" s="25">
        <f>IF(CNC!C$16&lt;=J338,A338)</f>
        <v>337</v>
      </c>
      <c r="Q338" s="25">
        <f>IF(D338=CNC!AR$10,A338)</f>
        <v>337</v>
      </c>
      <c r="R338" s="25" t="b">
        <f t="shared" si="14"/>
        <v>0</v>
      </c>
    </row>
    <row r="339" spans="1:18" ht="17" customHeight="1">
      <c r="A339" s="4">
        <v>338</v>
      </c>
      <c r="B339" s="162">
        <v>1</v>
      </c>
      <c r="C339" s="162">
        <v>1</v>
      </c>
      <c r="D339" s="162">
        <v>1</v>
      </c>
      <c r="E339" s="133" t="s">
        <v>2221</v>
      </c>
      <c r="F339" s="133">
        <v>12</v>
      </c>
      <c r="G339" s="133">
        <v>12</v>
      </c>
      <c r="H339" s="133">
        <v>5</v>
      </c>
      <c r="I339" s="133">
        <v>1.5</v>
      </c>
      <c r="J339" s="133">
        <v>15.75</v>
      </c>
      <c r="K339" s="133">
        <v>83</v>
      </c>
      <c r="L339" s="133">
        <v>15.6</v>
      </c>
      <c r="M339" s="163">
        <v>254.8</v>
      </c>
      <c r="N339" s="38" t="b">
        <f>IF(CNC!C$14&gt;=L339,A339)</f>
        <v>0</v>
      </c>
      <c r="O339" s="25">
        <f>IF(CNC!C$15=I339,A339)</f>
        <v>338</v>
      </c>
      <c r="P339" s="25" t="b">
        <f>IF(CNC!C$16&lt;=J339,A339)</f>
        <v>0</v>
      </c>
      <c r="Q339" s="25">
        <f>IF(D339=CNC!AR$10,A339)</f>
        <v>338</v>
      </c>
      <c r="R339" s="25" t="b">
        <f t="shared" si="14"/>
        <v>0</v>
      </c>
    </row>
    <row r="340" spans="1:18" ht="17" customHeight="1">
      <c r="A340" s="4">
        <v>339</v>
      </c>
      <c r="B340" s="162">
        <v>1</v>
      </c>
      <c r="C340" s="162">
        <v>1</v>
      </c>
      <c r="D340" s="162">
        <v>1</v>
      </c>
      <c r="E340" s="133" t="s">
        <v>2085</v>
      </c>
      <c r="F340" s="133">
        <v>12</v>
      </c>
      <c r="G340" s="133">
        <v>12</v>
      </c>
      <c r="H340" s="133">
        <v>4</v>
      </c>
      <c r="I340" s="133">
        <v>2</v>
      </c>
      <c r="J340" s="133">
        <v>43</v>
      </c>
      <c r="K340" s="133">
        <v>100</v>
      </c>
      <c r="L340" s="133">
        <v>15.6</v>
      </c>
      <c r="M340" s="163">
        <v>339.2</v>
      </c>
      <c r="N340" s="38" t="b">
        <f>IF(CNC!C$14&gt;=L340,A340)</f>
        <v>0</v>
      </c>
      <c r="O340" s="25" t="b">
        <f>IF(CNC!C$15=I340,A340)</f>
        <v>0</v>
      </c>
      <c r="P340" s="25">
        <f>IF(CNC!C$16&lt;=J340,A340)</f>
        <v>339</v>
      </c>
      <c r="Q340" s="25">
        <f>IF(D340=CNC!AR$10,A340)</f>
        <v>339</v>
      </c>
      <c r="R340" s="25" t="b">
        <f t="shared" si="14"/>
        <v>0</v>
      </c>
    </row>
    <row r="341" spans="1:18" ht="17" customHeight="1">
      <c r="A341" s="4">
        <v>340</v>
      </c>
      <c r="B341" s="162">
        <v>1</v>
      </c>
      <c r="C341" s="162">
        <v>1</v>
      </c>
      <c r="D341" s="162">
        <v>2</v>
      </c>
      <c r="E341" s="133" t="s">
        <v>2086</v>
      </c>
      <c r="F341" s="133">
        <v>12</v>
      </c>
      <c r="G341" s="133">
        <v>12</v>
      </c>
      <c r="H341" s="133">
        <v>4</v>
      </c>
      <c r="I341" s="133">
        <v>16</v>
      </c>
      <c r="J341" s="133">
        <v>40.479999999999997</v>
      </c>
      <c r="K341" s="133">
        <v>100</v>
      </c>
      <c r="L341" s="133">
        <v>18.649999999999999</v>
      </c>
      <c r="M341" s="163">
        <v>339.2</v>
      </c>
      <c r="N341" s="38" t="b">
        <f>IF(CNC!C$14&gt;=L341,A341)</f>
        <v>0</v>
      </c>
      <c r="O341" s="25" t="b">
        <f>IF(CNC!C$15=I341,A341)</f>
        <v>0</v>
      </c>
      <c r="P341" s="25">
        <f>IF(CNC!C$16&lt;=J341,A341)</f>
        <v>340</v>
      </c>
      <c r="Q341" s="25" t="b">
        <f>IF(D341=CNC!AR$10,A341)</f>
        <v>0</v>
      </c>
      <c r="R341" s="25" t="b">
        <f t="shared" si="14"/>
        <v>0</v>
      </c>
    </row>
    <row r="342" spans="1:18" ht="17" customHeight="1">
      <c r="A342" s="4">
        <v>341</v>
      </c>
      <c r="B342" s="162">
        <v>1</v>
      </c>
      <c r="C342" s="162">
        <v>1</v>
      </c>
      <c r="D342" s="162">
        <v>1</v>
      </c>
      <c r="E342" s="133" t="s">
        <v>2087</v>
      </c>
      <c r="F342" s="133">
        <v>12</v>
      </c>
      <c r="G342" s="133">
        <v>12</v>
      </c>
      <c r="H342" s="133">
        <v>4</v>
      </c>
      <c r="I342" s="133">
        <v>2</v>
      </c>
      <c r="J342" s="133">
        <v>35</v>
      </c>
      <c r="K342" s="133">
        <v>100</v>
      </c>
      <c r="L342" s="133">
        <v>15.6</v>
      </c>
      <c r="M342" s="163">
        <v>308.60000000000002</v>
      </c>
      <c r="N342" s="38" t="b">
        <f>IF(CNC!C$14&gt;=L342,A342)</f>
        <v>0</v>
      </c>
      <c r="O342" s="25" t="b">
        <f>IF(CNC!C$15=I342,A342)</f>
        <v>0</v>
      </c>
      <c r="P342" s="25">
        <f>IF(CNC!C$16&lt;=J342,A342)</f>
        <v>341</v>
      </c>
      <c r="Q342" s="25">
        <f>IF(D342=CNC!AR$10,A342)</f>
        <v>341</v>
      </c>
      <c r="R342" s="25" t="b">
        <f t="shared" si="14"/>
        <v>0</v>
      </c>
    </row>
    <row r="343" spans="1:18" ht="17" customHeight="1">
      <c r="A343" s="4">
        <v>342</v>
      </c>
      <c r="B343" s="162">
        <v>1</v>
      </c>
      <c r="C343" s="162">
        <v>1</v>
      </c>
      <c r="D343" s="162">
        <v>2</v>
      </c>
      <c r="E343" s="133" t="s">
        <v>2088</v>
      </c>
      <c r="F343" s="133">
        <v>12</v>
      </c>
      <c r="G343" s="133">
        <v>12</v>
      </c>
      <c r="H343" s="133">
        <v>4</v>
      </c>
      <c r="I343" s="133">
        <v>18</v>
      </c>
      <c r="J343" s="133">
        <v>33.159999999999997</v>
      </c>
      <c r="K343" s="133">
        <v>100</v>
      </c>
      <c r="L343" s="133">
        <v>15.475</v>
      </c>
      <c r="M343" s="163">
        <v>339.2</v>
      </c>
      <c r="N343" s="38" t="b">
        <f>IF(CNC!C$14&gt;=L343,A343)</f>
        <v>0</v>
      </c>
      <c r="O343" s="25" t="b">
        <f>IF(CNC!C$15=I343,A343)</f>
        <v>0</v>
      </c>
      <c r="P343" s="25">
        <f>IF(CNC!C$16&lt;=J343,A343)</f>
        <v>342</v>
      </c>
      <c r="Q343" s="25" t="b">
        <f>IF(D343=CNC!AR$10,A343)</f>
        <v>0</v>
      </c>
      <c r="R343" s="25" t="b">
        <f t="shared" si="14"/>
        <v>0</v>
      </c>
    </row>
    <row r="344" spans="1:18" ht="17" customHeight="1">
      <c r="A344" s="4">
        <v>343</v>
      </c>
      <c r="B344" s="162">
        <v>1</v>
      </c>
      <c r="C344" s="162">
        <v>1</v>
      </c>
      <c r="D344" s="162">
        <v>2</v>
      </c>
      <c r="E344" s="133" t="s">
        <v>2089</v>
      </c>
      <c r="F344" s="133">
        <v>12</v>
      </c>
      <c r="G344" s="133">
        <v>12</v>
      </c>
      <c r="H344" s="133">
        <v>4</v>
      </c>
      <c r="I344" s="133">
        <v>16</v>
      </c>
      <c r="J344" s="133">
        <v>30.96</v>
      </c>
      <c r="K344" s="133">
        <v>100</v>
      </c>
      <c r="L344" s="133">
        <v>18.649999999999999</v>
      </c>
      <c r="M344" s="163">
        <v>308.60000000000002</v>
      </c>
      <c r="N344" s="38" t="b">
        <f>IF(CNC!C$14&gt;=L344,A344)</f>
        <v>0</v>
      </c>
      <c r="O344" s="25" t="b">
        <f>IF(CNC!C$15=I344,A344)</f>
        <v>0</v>
      </c>
      <c r="P344" s="25">
        <f>IF(CNC!C$16&lt;=J344,A344)</f>
        <v>343</v>
      </c>
      <c r="Q344" s="25" t="b">
        <f>IF(D344=CNC!AR$10,A344)</f>
        <v>0</v>
      </c>
      <c r="R344" s="25" t="b">
        <f t="shared" si="14"/>
        <v>0</v>
      </c>
    </row>
    <row r="345" spans="1:18" ht="17" customHeight="1">
      <c r="A345" s="4">
        <v>344</v>
      </c>
      <c r="B345" s="162">
        <v>1</v>
      </c>
      <c r="C345" s="162">
        <v>1</v>
      </c>
      <c r="D345" s="162">
        <v>1</v>
      </c>
      <c r="E345" s="133" t="s">
        <v>2090</v>
      </c>
      <c r="F345" s="133">
        <v>12</v>
      </c>
      <c r="G345" s="133">
        <v>12</v>
      </c>
      <c r="H345" s="133">
        <v>4</v>
      </c>
      <c r="I345" s="133">
        <v>2</v>
      </c>
      <c r="J345" s="133">
        <v>27</v>
      </c>
      <c r="K345" s="133">
        <v>83</v>
      </c>
      <c r="L345" s="133">
        <v>15.6</v>
      </c>
      <c r="M345" s="163">
        <v>280.39999999999998</v>
      </c>
      <c r="N345" s="38" t="b">
        <f>IF(CNC!C$14&gt;=L345,A345)</f>
        <v>0</v>
      </c>
      <c r="O345" s="25" t="b">
        <f>IF(CNC!C$15=I345,A345)</f>
        <v>0</v>
      </c>
      <c r="P345" s="25">
        <f>IF(CNC!C$16&lt;=J345,A345)</f>
        <v>344</v>
      </c>
      <c r="Q345" s="25">
        <f>IF(D345=CNC!AR$10,A345)</f>
        <v>344</v>
      </c>
      <c r="R345" s="25" t="b">
        <f t="shared" si="14"/>
        <v>0</v>
      </c>
    </row>
    <row r="346" spans="1:18" ht="17" customHeight="1">
      <c r="A346" s="4">
        <v>345</v>
      </c>
      <c r="B346" s="162">
        <v>1</v>
      </c>
      <c r="C346" s="162">
        <v>1</v>
      </c>
      <c r="D346" s="162">
        <v>2</v>
      </c>
      <c r="E346" s="133" t="s">
        <v>2091</v>
      </c>
      <c r="F346" s="133">
        <v>12</v>
      </c>
      <c r="G346" s="133">
        <v>12</v>
      </c>
      <c r="H346" s="133">
        <v>4</v>
      </c>
      <c r="I346" s="133">
        <v>18</v>
      </c>
      <c r="J346" s="133">
        <v>26.11</v>
      </c>
      <c r="K346" s="133">
        <v>83</v>
      </c>
      <c r="L346" s="133">
        <v>15.475</v>
      </c>
      <c r="M346" s="163">
        <v>308.60000000000002</v>
      </c>
      <c r="N346" s="38" t="b">
        <f>IF(CNC!C$14&gt;=L346,A346)</f>
        <v>0</v>
      </c>
      <c r="O346" s="25" t="b">
        <f>IF(CNC!C$15=I346,A346)</f>
        <v>0</v>
      </c>
      <c r="P346" s="25">
        <f>IF(CNC!C$16&lt;=J346,A346)</f>
        <v>345</v>
      </c>
      <c r="Q346" s="25" t="b">
        <f>IF(D346=CNC!AR$10,A346)</f>
        <v>0</v>
      </c>
      <c r="R346" s="25" t="b">
        <f t="shared" si="14"/>
        <v>0</v>
      </c>
    </row>
    <row r="347" spans="1:18" ht="17" customHeight="1">
      <c r="A347" s="4">
        <v>346</v>
      </c>
      <c r="B347" s="162">
        <v>1</v>
      </c>
      <c r="C347" s="162">
        <v>1</v>
      </c>
      <c r="D347" s="162">
        <v>1</v>
      </c>
      <c r="E347" s="133" t="s">
        <v>2092</v>
      </c>
      <c r="F347" s="133">
        <v>12</v>
      </c>
      <c r="G347" s="133">
        <v>12</v>
      </c>
      <c r="H347" s="133">
        <v>3</v>
      </c>
      <c r="I347" s="133">
        <v>2</v>
      </c>
      <c r="J347" s="133">
        <v>51</v>
      </c>
      <c r="K347" s="133">
        <v>100</v>
      </c>
      <c r="L347" s="133">
        <v>15.6</v>
      </c>
      <c r="M347" s="163">
        <v>373.3</v>
      </c>
      <c r="N347" s="38" t="b">
        <f>IF(CNC!C$14&gt;=L347,A347)</f>
        <v>0</v>
      </c>
      <c r="O347" s="25" t="b">
        <f>IF(CNC!C$15=I347,A347)</f>
        <v>0</v>
      </c>
      <c r="P347" s="25">
        <f>IF(CNC!C$16&lt;=J347,A347)</f>
        <v>346</v>
      </c>
      <c r="Q347" s="25">
        <f>IF(D347=CNC!AR$10,A347)</f>
        <v>346</v>
      </c>
      <c r="R347" s="25" t="b">
        <f t="shared" si="14"/>
        <v>0</v>
      </c>
    </row>
    <row r="348" spans="1:18" ht="17" customHeight="1">
      <c r="A348" s="4">
        <v>347</v>
      </c>
      <c r="B348" s="162">
        <v>1</v>
      </c>
      <c r="C348" s="162">
        <v>1</v>
      </c>
      <c r="D348" s="162">
        <v>1</v>
      </c>
      <c r="E348" s="133" t="s">
        <v>2093</v>
      </c>
      <c r="F348" s="133">
        <v>12</v>
      </c>
      <c r="G348" s="133">
        <v>12</v>
      </c>
      <c r="H348" s="133">
        <v>3</v>
      </c>
      <c r="I348" s="133">
        <v>2.5</v>
      </c>
      <c r="J348" s="133">
        <v>48.75</v>
      </c>
      <c r="K348" s="133">
        <v>100</v>
      </c>
      <c r="L348" s="133">
        <v>17.600000000000001</v>
      </c>
      <c r="M348" s="163">
        <v>373.3</v>
      </c>
      <c r="N348" s="38" t="b">
        <f>IF(CNC!C$14&gt;=L348,A348)</f>
        <v>0</v>
      </c>
      <c r="O348" s="25" t="b">
        <f>IF(CNC!C$15=I348,A348)</f>
        <v>0</v>
      </c>
      <c r="P348" s="25">
        <f>IF(CNC!C$16&lt;=J348,A348)</f>
        <v>347</v>
      </c>
      <c r="Q348" s="25">
        <f>IF(D348=CNC!AR$10,A348)</f>
        <v>347</v>
      </c>
      <c r="R348" s="25" t="b">
        <f t="shared" si="14"/>
        <v>0</v>
      </c>
    </row>
    <row r="349" spans="1:18" ht="17" customHeight="1">
      <c r="A349" s="4">
        <v>348</v>
      </c>
      <c r="B349" s="162">
        <v>1</v>
      </c>
      <c r="C349" s="162">
        <v>1</v>
      </c>
      <c r="D349" s="162">
        <v>2</v>
      </c>
      <c r="E349" s="133" t="s">
        <v>2094</v>
      </c>
      <c r="F349" s="133">
        <v>12</v>
      </c>
      <c r="G349" s="133">
        <v>12</v>
      </c>
      <c r="H349" s="133">
        <v>3</v>
      </c>
      <c r="I349" s="133">
        <v>10</v>
      </c>
      <c r="J349" s="133">
        <v>41.91</v>
      </c>
      <c r="K349" s="133">
        <v>100</v>
      </c>
      <c r="L349" s="133">
        <v>18.649999999999999</v>
      </c>
      <c r="M349" s="163">
        <v>308.60000000000002</v>
      </c>
      <c r="N349" s="38" t="b">
        <f>IF(CNC!C$14&gt;=L349,A349)</f>
        <v>0</v>
      </c>
      <c r="O349" s="25" t="b">
        <f>IF(CNC!C$15=I349,A349)</f>
        <v>0</v>
      </c>
      <c r="P349" s="25">
        <f>IF(CNC!C$16&lt;=J349,A349)</f>
        <v>348</v>
      </c>
      <c r="Q349" s="25" t="b">
        <f>IF(D349=CNC!AR$10,A349)</f>
        <v>0</v>
      </c>
      <c r="R349" s="25" t="b">
        <f t="shared" si="14"/>
        <v>0</v>
      </c>
    </row>
    <row r="350" spans="1:18" ht="17" customHeight="1">
      <c r="A350" s="4">
        <v>349</v>
      </c>
      <c r="B350" s="162">
        <v>1</v>
      </c>
      <c r="C350" s="162">
        <v>1</v>
      </c>
      <c r="D350" s="162">
        <v>1</v>
      </c>
      <c r="E350" s="133" t="s">
        <v>2095</v>
      </c>
      <c r="F350" s="133">
        <v>12</v>
      </c>
      <c r="G350" s="133">
        <v>12</v>
      </c>
      <c r="H350" s="133">
        <v>3</v>
      </c>
      <c r="I350" s="133">
        <v>2.5</v>
      </c>
      <c r="J350" s="133">
        <v>38.75</v>
      </c>
      <c r="K350" s="133">
        <v>100</v>
      </c>
      <c r="L350" s="133">
        <v>17.600000000000001</v>
      </c>
      <c r="M350" s="163">
        <v>339.2</v>
      </c>
      <c r="N350" s="38" t="b">
        <f>IF(CNC!C$14&gt;=L350,A350)</f>
        <v>0</v>
      </c>
      <c r="O350" s="25" t="b">
        <f>IF(CNC!C$15=I350,A350)</f>
        <v>0</v>
      </c>
      <c r="P350" s="25">
        <f>IF(CNC!C$16&lt;=J350,A350)</f>
        <v>349</v>
      </c>
      <c r="Q350" s="25">
        <f>IF(D350=CNC!AR$10,A350)</f>
        <v>349</v>
      </c>
      <c r="R350" s="25" t="b">
        <f t="shared" si="14"/>
        <v>0</v>
      </c>
    </row>
    <row r="351" spans="1:18" ht="17" customHeight="1">
      <c r="A351" s="4">
        <v>350</v>
      </c>
      <c r="B351" s="162">
        <v>1</v>
      </c>
      <c r="C351" s="162">
        <v>1</v>
      </c>
      <c r="D351" s="162">
        <v>1</v>
      </c>
      <c r="E351" s="133" t="s">
        <v>2096</v>
      </c>
      <c r="F351" s="133">
        <v>12</v>
      </c>
      <c r="G351" s="133">
        <v>12</v>
      </c>
      <c r="H351" s="133">
        <v>3</v>
      </c>
      <c r="I351" s="133">
        <v>2.5</v>
      </c>
      <c r="J351" s="133">
        <v>31.25</v>
      </c>
      <c r="K351" s="133">
        <v>100</v>
      </c>
      <c r="L351" s="133">
        <v>17.600000000000001</v>
      </c>
      <c r="M351" s="163">
        <v>308.60000000000002</v>
      </c>
      <c r="N351" s="38" t="b">
        <f>IF(CNC!C$14&gt;=L351,A351)</f>
        <v>0</v>
      </c>
      <c r="O351" s="25" t="b">
        <f>IF(CNC!C$15=I351,A351)</f>
        <v>0</v>
      </c>
      <c r="P351" s="25">
        <f>IF(CNC!C$16&lt;=J351,A351)</f>
        <v>350</v>
      </c>
      <c r="Q351" s="25">
        <f>IF(D351=CNC!AR$10,A351)</f>
        <v>350</v>
      </c>
      <c r="R351" s="25" t="b">
        <f t="shared" si="14"/>
        <v>0</v>
      </c>
    </row>
    <row r="352" spans="1:18" ht="17" customHeight="1">
      <c r="A352" s="4">
        <v>351</v>
      </c>
      <c r="B352" s="162">
        <v>1</v>
      </c>
      <c r="C352" s="162">
        <v>1</v>
      </c>
      <c r="D352" s="162">
        <v>2</v>
      </c>
      <c r="E352" s="133" t="s">
        <v>2097</v>
      </c>
      <c r="F352" s="133">
        <v>12</v>
      </c>
      <c r="G352" s="133">
        <v>12</v>
      </c>
      <c r="H352" s="133">
        <v>3</v>
      </c>
      <c r="I352" s="133">
        <v>10</v>
      </c>
      <c r="J352" s="133">
        <v>31.75</v>
      </c>
      <c r="K352" s="133">
        <v>100</v>
      </c>
      <c r="L352" s="133">
        <v>18.649999999999999</v>
      </c>
      <c r="M352" s="163">
        <v>280.39999999999998</v>
      </c>
      <c r="N352" s="38" t="b">
        <f>IF(CNC!C$14&gt;=L352,A352)</f>
        <v>0</v>
      </c>
      <c r="O352" s="25" t="b">
        <f>IF(CNC!C$15=I352,A352)</f>
        <v>0</v>
      </c>
      <c r="P352" s="25">
        <f>IF(CNC!C$16&lt;=J352,A352)</f>
        <v>351</v>
      </c>
      <c r="Q352" s="25" t="b">
        <f>IF(D352=CNC!AR$10,A352)</f>
        <v>0</v>
      </c>
      <c r="R352" s="25" t="b">
        <f t="shared" si="14"/>
        <v>0</v>
      </c>
    </row>
    <row r="353" spans="1:18" ht="17" customHeight="1">
      <c r="A353" s="4">
        <v>352</v>
      </c>
      <c r="B353" s="162">
        <v>1</v>
      </c>
      <c r="C353" s="162">
        <v>1</v>
      </c>
      <c r="D353" s="162">
        <v>2</v>
      </c>
      <c r="E353" s="133" t="s">
        <v>2098</v>
      </c>
      <c r="F353" s="133">
        <v>12</v>
      </c>
      <c r="G353" s="133">
        <v>11.7</v>
      </c>
      <c r="H353" s="133">
        <v>3</v>
      </c>
      <c r="I353" s="133">
        <v>11</v>
      </c>
      <c r="J353" s="133">
        <v>42.72</v>
      </c>
      <c r="K353" s="133">
        <v>100</v>
      </c>
      <c r="L353" s="133">
        <v>15.475</v>
      </c>
      <c r="M353" s="163">
        <v>339.2</v>
      </c>
      <c r="N353" s="38" t="b">
        <f>IF(CNC!C$14&gt;=L353,A353)</f>
        <v>0</v>
      </c>
      <c r="O353" s="25" t="b">
        <f>IF(CNC!C$15=I353,A353)</f>
        <v>0</v>
      </c>
      <c r="P353" s="25">
        <f>IF(CNC!C$16&lt;=J353,A353)</f>
        <v>352</v>
      </c>
      <c r="Q353" s="25" t="b">
        <f>IF(D353=CNC!AR$10,A353)</f>
        <v>0</v>
      </c>
      <c r="R353" s="25" t="b">
        <f t="shared" si="14"/>
        <v>0</v>
      </c>
    </row>
    <row r="354" spans="1:18" ht="17" customHeight="1">
      <c r="A354" s="4">
        <v>353</v>
      </c>
      <c r="B354" s="162">
        <v>1</v>
      </c>
      <c r="C354" s="162">
        <v>1</v>
      </c>
      <c r="D354" s="162">
        <v>1</v>
      </c>
      <c r="E354" s="133" t="s">
        <v>2099</v>
      </c>
      <c r="F354" s="133">
        <v>10</v>
      </c>
      <c r="G354" s="133">
        <v>10</v>
      </c>
      <c r="H354" s="133">
        <v>5</v>
      </c>
      <c r="I354" s="133">
        <v>1</v>
      </c>
      <c r="J354" s="133">
        <v>19.5</v>
      </c>
      <c r="K354" s="133">
        <v>76</v>
      </c>
      <c r="L354" s="133">
        <v>11.7</v>
      </c>
      <c r="M354" s="163">
        <v>262.7</v>
      </c>
      <c r="N354" s="38" t="b">
        <f>IF(CNC!C$14&gt;=L354,A354)</f>
        <v>0</v>
      </c>
      <c r="O354" s="25" t="b">
        <f>IF(CNC!C$15=I354,A354)</f>
        <v>0</v>
      </c>
      <c r="P354" s="25" t="b">
        <f>IF(CNC!C$16&lt;=J354,A354)</f>
        <v>0</v>
      </c>
      <c r="Q354" s="25">
        <f>IF(D354=CNC!AR$10,A354)</f>
        <v>353</v>
      </c>
      <c r="R354" s="25" t="b">
        <f t="shared" si="14"/>
        <v>0</v>
      </c>
    </row>
    <row r="355" spans="1:18" ht="17" customHeight="1">
      <c r="A355" s="4">
        <v>354</v>
      </c>
      <c r="B355" s="162">
        <v>1</v>
      </c>
      <c r="C355" s="162">
        <v>1</v>
      </c>
      <c r="D355" s="162">
        <v>1</v>
      </c>
      <c r="E355" s="133" t="s">
        <v>2100</v>
      </c>
      <c r="F355" s="133">
        <v>10</v>
      </c>
      <c r="G355" s="133">
        <v>10</v>
      </c>
      <c r="H355" s="133">
        <v>5</v>
      </c>
      <c r="I355" s="133">
        <v>1</v>
      </c>
      <c r="J355" s="133">
        <v>14.5</v>
      </c>
      <c r="K355" s="133">
        <v>76</v>
      </c>
      <c r="L355" s="133">
        <v>11.7</v>
      </c>
      <c r="M355" s="163">
        <v>238.9</v>
      </c>
      <c r="N355" s="38" t="b">
        <f>IF(CNC!C$14&gt;=L355,A355)</f>
        <v>0</v>
      </c>
      <c r="O355" s="25" t="b">
        <f>IF(CNC!C$15=I355,A355)</f>
        <v>0</v>
      </c>
      <c r="P355" s="25" t="b">
        <f>IF(CNC!C$16&lt;=J355,A355)</f>
        <v>0</v>
      </c>
      <c r="Q355" s="25">
        <f>IF(D355=CNC!AR$10,A355)</f>
        <v>354</v>
      </c>
      <c r="R355" s="25" t="b">
        <f t="shared" si="14"/>
        <v>0</v>
      </c>
    </row>
    <row r="356" spans="1:18" ht="17" customHeight="1">
      <c r="A356" s="4">
        <v>355</v>
      </c>
      <c r="B356" s="162">
        <v>1</v>
      </c>
      <c r="C356" s="162">
        <v>1</v>
      </c>
      <c r="D356" s="162">
        <v>2</v>
      </c>
      <c r="E356" s="133" t="s">
        <v>2101</v>
      </c>
      <c r="F356" s="133">
        <v>10</v>
      </c>
      <c r="G356" s="133">
        <v>10</v>
      </c>
      <c r="H356" s="133">
        <v>4</v>
      </c>
      <c r="I356" s="133">
        <v>18</v>
      </c>
      <c r="J356" s="133">
        <v>30.34</v>
      </c>
      <c r="K356" s="133">
        <v>100</v>
      </c>
      <c r="L356" s="133">
        <v>13.888</v>
      </c>
      <c r="M356" s="163">
        <v>288.8</v>
      </c>
      <c r="N356" s="38" t="b">
        <f>IF(CNC!C$14&gt;=L356,A356)</f>
        <v>0</v>
      </c>
      <c r="O356" s="25" t="b">
        <f>IF(CNC!C$15=I356,A356)</f>
        <v>0</v>
      </c>
      <c r="P356" s="25">
        <f>IF(CNC!C$16&lt;=J356,A356)</f>
        <v>355</v>
      </c>
      <c r="Q356" s="25" t="b">
        <f>IF(D356=CNC!AR$10,A356)</f>
        <v>0</v>
      </c>
      <c r="R356" s="25" t="b">
        <f t="shared" si="14"/>
        <v>0</v>
      </c>
    </row>
    <row r="357" spans="1:18" ht="17" customHeight="1">
      <c r="A357" s="4">
        <v>356</v>
      </c>
      <c r="B357" s="162">
        <v>1</v>
      </c>
      <c r="C357" s="162">
        <v>1</v>
      </c>
      <c r="D357" s="162">
        <v>2</v>
      </c>
      <c r="E357" s="133" t="s">
        <v>2102</v>
      </c>
      <c r="F357" s="133">
        <v>10</v>
      </c>
      <c r="G357" s="133">
        <v>10</v>
      </c>
      <c r="H357" s="133">
        <v>4</v>
      </c>
      <c r="I357" s="133">
        <v>20</v>
      </c>
      <c r="J357" s="133">
        <v>27.31</v>
      </c>
      <c r="K357" s="133">
        <v>76</v>
      </c>
      <c r="L357" s="133">
        <v>12.3</v>
      </c>
      <c r="M357" s="163">
        <v>288.8</v>
      </c>
      <c r="N357" s="38" t="b">
        <f>IF(CNC!C$14&gt;=L357,A357)</f>
        <v>0</v>
      </c>
      <c r="O357" s="25" t="b">
        <f>IF(CNC!C$15=I357,A357)</f>
        <v>0</v>
      </c>
      <c r="P357" s="25">
        <f>IF(CNC!C$16&lt;=J357,A357)</f>
        <v>356</v>
      </c>
      <c r="Q357" s="25" t="b">
        <f>IF(D357=CNC!AR$10,A357)</f>
        <v>0</v>
      </c>
      <c r="R357" s="25" t="b">
        <f t="shared" si="14"/>
        <v>0</v>
      </c>
    </row>
    <row r="358" spans="1:18" ht="17" customHeight="1">
      <c r="A358" s="4">
        <v>357</v>
      </c>
      <c r="B358" s="162">
        <v>1</v>
      </c>
      <c r="C358" s="162">
        <v>1</v>
      </c>
      <c r="D358" s="162">
        <v>2</v>
      </c>
      <c r="E358" s="133" t="s">
        <v>2103</v>
      </c>
      <c r="F358" s="133">
        <v>10</v>
      </c>
      <c r="G358" s="133">
        <v>10</v>
      </c>
      <c r="H358" s="133">
        <v>4</v>
      </c>
      <c r="I358" s="133">
        <v>18</v>
      </c>
      <c r="J358" s="133">
        <v>23.28</v>
      </c>
      <c r="K358" s="133">
        <v>76</v>
      </c>
      <c r="L358" s="133">
        <v>13.888</v>
      </c>
      <c r="M358" s="163">
        <v>262.7</v>
      </c>
      <c r="N358" s="38" t="b">
        <f>IF(CNC!C$14&gt;=L358,A358)</f>
        <v>0</v>
      </c>
      <c r="O358" s="25" t="b">
        <f>IF(CNC!C$15=I358,A358)</f>
        <v>0</v>
      </c>
      <c r="P358" s="25">
        <f>IF(CNC!C$16&lt;=J358,A358)</f>
        <v>357</v>
      </c>
      <c r="Q358" s="25" t="b">
        <f>IF(D358=CNC!AR$10,A358)</f>
        <v>0</v>
      </c>
      <c r="R358" s="25" t="b">
        <f t="shared" si="14"/>
        <v>0</v>
      </c>
    </row>
    <row r="359" spans="1:18" ht="17" customHeight="1">
      <c r="A359" s="4">
        <v>358</v>
      </c>
      <c r="B359" s="162">
        <v>1</v>
      </c>
      <c r="C359" s="162">
        <v>1</v>
      </c>
      <c r="D359" s="162">
        <v>1</v>
      </c>
      <c r="E359" s="133" t="s">
        <v>2104</v>
      </c>
      <c r="F359" s="133">
        <v>10</v>
      </c>
      <c r="G359" s="133">
        <v>10</v>
      </c>
      <c r="H359" s="133">
        <v>4</v>
      </c>
      <c r="I359" s="133">
        <v>1.5</v>
      </c>
      <c r="J359" s="133">
        <v>23.25</v>
      </c>
      <c r="K359" s="133">
        <v>76</v>
      </c>
      <c r="L359" s="133">
        <v>13.6</v>
      </c>
      <c r="M359" s="163">
        <v>262.7</v>
      </c>
      <c r="N359" s="38" t="b">
        <f>IF(CNC!C$14&gt;=L359,A359)</f>
        <v>0</v>
      </c>
      <c r="O359" s="25">
        <f>IF(CNC!C$15=I359,A359)</f>
        <v>358</v>
      </c>
      <c r="P359" s="25">
        <f>IF(CNC!C$16&lt;=J359,A359)</f>
        <v>358</v>
      </c>
      <c r="Q359" s="25">
        <f>IF(D359=CNC!AR$10,A359)</f>
        <v>358</v>
      </c>
      <c r="R359" s="25" t="b">
        <f t="shared" si="14"/>
        <v>0</v>
      </c>
    </row>
    <row r="360" spans="1:18" ht="17" customHeight="1">
      <c r="A360" s="4">
        <v>359</v>
      </c>
      <c r="B360" s="162">
        <v>1</v>
      </c>
      <c r="C360" s="162">
        <v>1</v>
      </c>
      <c r="D360" s="162">
        <v>2</v>
      </c>
      <c r="E360" s="133" t="s">
        <v>2105</v>
      </c>
      <c r="F360" s="133">
        <v>10</v>
      </c>
      <c r="G360" s="133">
        <v>10</v>
      </c>
      <c r="H360" s="133">
        <v>4</v>
      </c>
      <c r="I360" s="133">
        <v>20</v>
      </c>
      <c r="J360" s="133">
        <v>20.96</v>
      </c>
      <c r="K360" s="133">
        <v>76</v>
      </c>
      <c r="L360" s="133">
        <v>12.3</v>
      </c>
      <c r="M360" s="163">
        <v>262.7</v>
      </c>
      <c r="N360" s="38" t="b">
        <f>IF(CNC!C$14&gt;=L360,A360)</f>
        <v>0</v>
      </c>
      <c r="O360" s="25" t="b">
        <f>IF(CNC!C$15=I360,A360)</f>
        <v>0</v>
      </c>
      <c r="P360" s="25">
        <f>IF(CNC!C$16&lt;=J360,A360)</f>
        <v>359</v>
      </c>
      <c r="Q360" s="25" t="b">
        <f>IF(D360=CNC!AR$10,A360)</f>
        <v>0</v>
      </c>
      <c r="R360" s="25" t="b">
        <f t="shared" si="14"/>
        <v>0</v>
      </c>
    </row>
    <row r="361" spans="1:18" ht="17" customHeight="1">
      <c r="A361" s="4">
        <v>360</v>
      </c>
      <c r="B361" s="162">
        <v>1</v>
      </c>
      <c r="C361" s="162">
        <v>1</v>
      </c>
      <c r="D361" s="162">
        <v>1</v>
      </c>
      <c r="E361" s="133" t="s">
        <v>2106</v>
      </c>
      <c r="F361" s="133">
        <v>10</v>
      </c>
      <c r="G361" s="133">
        <v>10</v>
      </c>
      <c r="H361" s="133">
        <v>4</v>
      </c>
      <c r="I361" s="133">
        <v>1.5</v>
      </c>
      <c r="J361" s="133">
        <v>17.25</v>
      </c>
      <c r="K361" s="133">
        <v>76</v>
      </c>
      <c r="L361" s="133">
        <v>13.6</v>
      </c>
      <c r="M361" s="163">
        <v>238.9</v>
      </c>
      <c r="N361" s="38" t="b">
        <f>IF(CNC!C$14&gt;=L361,A361)</f>
        <v>0</v>
      </c>
      <c r="O361" s="25">
        <f>IF(CNC!C$15=I361,A361)</f>
        <v>360</v>
      </c>
      <c r="P361" s="25" t="b">
        <f>IF(CNC!C$16&lt;=J361,A361)</f>
        <v>0</v>
      </c>
      <c r="Q361" s="25">
        <f>IF(D361=CNC!AR$10,A361)</f>
        <v>360</v>
      </c>
      <c r="R361" s="25" t="b">
        <f t="shared" si="14"/>
        <v>0</v>
      </c>
    </row>
    <row r="362" spans="1:18" ht="17" customHeight="1">
      <c r="A362" s="4">
        <v>361</v>
      </c>
      <c r="B362" s="162">
        <v>1</v>
      </c>
      <c r="C362" s="162">
        <v>1</v>
      </c>
      <c r="D362" s="162">
        <v>1</v>
      </c>
      <c r="E362" s="133" t="s">
        <v>2107</v>
      </c>
      <c r="F362" s="133">
        <v>10</v>
      </c>
      <c r="G362" s="133">
        <v>10</v>
      </c>
      <c r="H362" s="133">
        <v>3</v>
      </c>
      <c r="I362" s="133">
        <v>2</v>
      </c>
      <c r="J362" s="133">
        <v>37</v>
      </c>
      <c r="K362" s="133">
        <v>100</v>
      </c>
      <c r="L362" s="133">
        <v>13.6</v>
      </c>
      <c r="M362" s="163">
        <v>288.8</v>
      </c>
      <c r="N362" s="38" t="b">
        <f>IF(CNC!C$14&gt;=L362,A362)</f>
        <v>0</v>
      </c>
      <c r="O362" s="25" t="b">
        <f>IF(CNC!C$15=I362,A362)</f>
        <v>0</v>
      </c>
      <c r="P362" s="25">
        <f>IF(CNC!C$16&lt;=J362,A362)</f>
        <v>361</v>
      </c>
      <c r="Q362" s="25">
        <f>IF(D362=CNC!AR$10,A362)</f>
        <v>361</v>
      </c>
      <c r="R362" s="25" t="b">
        <f t="shared" si="14"/>
        <v>0</v>
      </c>
    </row>
    <row r="363" spans="1:18" ht="17" customHeight="1">
      <c r="A363" s="4">
        <v>362</v>
      </c>
      <c r="B363" s="162">
        <v>1</v>
      </c>
      <c r="C363" s="162">
        <v>1</v>
      </c>
      <c r="D363" s="162">
        <v>2</v>
      </c>
      <c r="E363" s="133" t="s">
        <v>2108</v>
      </c>
      <c r="F363" s="133">
        <v>10</v>
      </c>
      <c r="G363" s="133">
        <v>10</v>
      </c>
      <c r="H363" s="133">
        <v>3</v>
      </c>
      <c r="I363" s="133">
        <v>11</v>
      </c>
      <c r="J363" s="133">
        <v>35.79</v>
      </c>
      <c r="K363" s="133">
        <v>100</v>
      </c>
      <c r="L363" s="133">
        <v>15.475</v>
      </c>
      <c r="M363" s="163">
        <v>262.7</v>
      </c>
      <c r="N363" s="38" t="b">
        <f>IF(CNC!C$14&gt;=L363,A363)</f>
        <v>0</v>
      </c>
      <c r="O363" s="25" t="b">
        <f>IF(CNC!C$15=I363,A363)</f>
        <v>0</v>
      </c>
      <c r="P363" s="25">
        <f>IF(CNC!C$16&lt;=J363,A363)</f>
        <v>362</v>
      </c>
      <c r="Q363" s="25" t="b">
        <f>IF(D363=CNC!AR$10,A363)</f>
        <v>0</v>
      </c>
      <c r="R363" s="25" t="b">
        <f t="shared" si="14"/>
        <v>0</v>
      </c>
    </row>
    <row r="364" spans="1:18" ht="17" customHeight="1">
      <c r="A364" s="4">
        <v>363</v>
      </c>
      <c r="B364" s="162">
        <v>1</v>
      </c>
      <c r="C364" s="162">
        <v>1</v>
      </c>
      <c r="D364" s="162">
        <v>1</v>
      </c>
      <c r="E364" s="133" t="s">
        <v>2109</v>
      </c>
      <c r="F364" s="133">
        <v>10</v>
      </c>
      <c r="G364" s="133">
        <v>10</v>
      </c>
      <c r="H364" s="133">
        <v>3</v>
      </c>
      <c r="I364" s="133">
        <v>2</v>
      </c>
      <c r="J364" s="133">
        <v>31</v>
      </c>
      <c r="K364" s="133">
        <v>100</v>
      </c>
      <c r="L364" s="133">
        <v>13.6</v>
      </c>
      <c r="M364" s="163">
        <v>262.7</v>
      </c>
      <c r="N364" s="38" t="b">
        <f>IF(CNC!C$14&gt;=L364,A364)</f>
        <v>0</v>
      </c>
      <c r="O364" s="25" t="b">
        <f>IF(CNC!C$15=I364,A364)</f>
        <v>0</v>
      </c>
      <c r="P364" s="25">
        <f>IF(CNC!C$16&lt;=J364,A364)</f>
        <v>363</v>
      </c>
      <c r="Q364" s="25">
        <f>IF(D364=CNC!AR$10,A364)</f>
        <v>363</v>
      </c>
      <c r="R364" s="25" t="b">
        <f t="shared" si="14"/>
        <v>0</v>
      </c>
    </row>
    <row r="365" spans="1:18" ht="17" customHeight="1">
      <c r="A365" s="4">
        <v>364</v>
      </c>
      <c r="B365" s="162">
        <v>1</v>
      </c>
      <c r="C365" s="162">
        <v>1</v>
      </c>
      <c r="D365" s="162">
        <v>2</v>
      </c>
      <c r="E365" s="133" t="s">
        <v>2110</v>
      </c>
      <c r="F365" s="133">
        <v>10</v>
      </c>
      <c r="G365" s="133">
        <v>10</v>
      </c>
      <c r="H365" s="133">
        <v>3</v>
      </c>
      <c r="I365" s="133">
        <v>12</v>
      </c>
      <c r="J365" s="133">
        <v>30.69</v>
      </c>
      <c r="K365" s="133">
        <v>100</v>
      </c>
      <c r="L365" s="133">
        <v>13.888</v>
      </c>
      <c r="M365" s="163">
        <v>262.7</v>
      </c>
      <c r="N365" s="38" t="b">
        <f>IF(CNC!C$14&gt;=L365,A365)</f>
        <v>0</v>
      </c>
      <c r="O365" s="25" t="b">
        <f>IF(CNC!C$15=I365,A365)</f>
        <v>0</v>
      </c>
      <c r="P365" s="25">
        <f>IF(CNC!C$16&lt;=J365,A365)</f>
        <v>364</v>
      </c>
      <c r="Q365" s="25" t="b">
        <f>IF(D365=CNC!AR$10,A365)</f>
        <v>0</v>
      </c>
      <c r="R365" s="25" t="b">
        <f t="shared" si="14"/>
        <v>0</v>
      </c>
    </row>
    <row r="366" spans="1:18" ht="17" customHeight="1">
      <c r="A366" s="4">
        <v>365</v>
      </c>
      <c r="B366" s="162">
        <v>1</v>
      </c>
      <c r="C366" s="162">
        <v>1</v>
      </c>
      <c r="D366" s="162">
        <v>2</v>
      </c>
      <c r="E366" s="133" t="s">
        <v>2111</v>
      </c>
      <c r="F366" s="133">
        <v>10</v>
      </c>
      <c r="G366" s="133">
        <v>10</v>
      </c>
      <c r="H366" s="133">
        <v>3</v>
      </c>
      <c r="I366" s="133">
        <v>11</v>
      </c>
      <c r="J366" s="133">
        <v>26.55</v>
      </c>
      <c r="K366" s="133">
        <v>76</v>
      </c>
      <c r="L366" s="133">
        <v>15.475</v>
      </c>
      <c r="M366" s="163">
        <v>238.9</v>
      </c>
      <c r="N366" s="38" t="b">
        <f>IF(CNC!C$14&gt;=L366,A366)</f>
        <v>0</v>
      </c>
      <c r="O366" s="25" t="b">
        <f>IF(CNC!C$15=I366,A366)</f>
        <v>0</v>
      </c>
      <c r="P366" s="25">
        <f>IF(CNC!C$16&lt;=J366,A366)</f>
        <v>365</v>
      </c>
      <c r="Q366" s="25" t="b">
        <f>IF(D366=CNC!AR$10,A366)</f>
        <v>0</v>
      </c>
      <c r="R366" s="25" t="b">
        <f t="shared" si="14"/>
        <v>0</v>
      </c>
    </row>
    <row r="367" spans="1:18" ht="17" customHeight="1">
      <c r="A367" s="4">
        <v>366</v>
      </c>
      <c r="B367" s="162">
        <v>1</v>
      </c>
      <c r="C367" s="162">
        <v>1</v>
      </c>
      <c r="D367" s="162">
        <v>2</v>
      </c>
      <c r="E367" s="133" t="s">
        <v>2112</v>
      </c>
      <c r="F367" s="133">
        <v>10</v>
      </c>
      <c r="G367" s="133">
        <v>10</v>
      </c>
      <c r="H367" s="133">
        <v>3</v>
      </c>
      <c r="I367" s="133">
        <v>12</v>
      </c>
      <c r="J367" s="133">
        <v>24.34</v>
      </c>
      <c r="K367" s="133">
        <v>76</v>
      </c>
      <c r="L367" s="133">
        <v>13.888</v>
      </c>
      <c r="M367" s="163">
        <v>238.9</v>
      </c>
      <c r="N367" s="38" t="b">
        <f>IF(CNC!C$14&gt;=L367,A367)</f>
        <v>0</v>
      </c>
      <c r="O367" s="25" t="b">
        <f>IF(CNC!C$15=I367,A367)</f>
        <v>0</v>
      </c>
      <c r="P367" s="25">
        <f>IF(CNC!C$16&lt;=J367,A367)</f>
        <v>366</v>
      </c>
      <c r="Q367" s="25" t="b">
        <f>IF(D367=CNC!AR$10,A367)</f>
        <v>0</v>
      </c>
      <c r="R367" s="25" t="b">
        <f t="shared" si="14"/>
        <v>0</v>
      </c>
    </row>
    <row r="368" spans="1:18" ht="17" customHeight="1">
      <c r="A368" s="4">
        <v>367</v>
      </c>
      <c r="B368" s="162">
        <v>1</v>
      </c>
      <c r="C368" s="162">
        <v>1</v>
      </c>
      <c r="D368" s="162">
        <v>1</v>
      </c>
      <c r="E368" s="133" t="s">
        <v>2113</v>
      </c>
      <c r="F368" s="133">
        <v>10</v>
      </c>
      <c r="G368" s="133">
        <v>10</v>
      </c>
      <c r="H368" s="133">
        <v>3</v>
      </c>
      <c r="I368" s="133">
        <v>2</v>
      </c>
      <c r="J368" s="133">
        <v>23</v>
      </c>
      <c r="K368" s="133">
        <v>76</v>
      </c>
      <c r="L368" s="133">
        <v>13.6</v>
      </c>
      <c r="M368" s="163">
        <v>238.9</v>
      </c>
      <c r="N368" s="38" t="b">
        <f>IF(CNC!C$14&gt;=L368,A368)</f>
        <v>0</v>
      </c>
      <c r="O368" s="25" t="b">
        <f>IF(CNC!C$15=I368,A368)</f>
        <v>0</v>
      </c>
      <c r="P368" s="25">
        <f>IF(CNC!C$16&lt;=J368,A368)</f>
        <v>367</v>
      </c>
      <c r="Q368" s="25">
        <f>IF(D368=CNC!AR$10,A368)</f>
        <v>367</v>
      </c>
      <c r="R368" s="25" t="b">
        <f t="shared" si="14"/>
        <v>0</v>
      </c>
    </row>
    <row r="369" spans="1:18" ht="17" customHeight="1">
      <c r="A369" s="4">
        <v>368</v>
      </c>
      <c r="B369" s="162">
        <v>1</v>
      </c>
      <c r="C369" s="162">
        <v>1</v>
      </c>
      <c r="D369" s="162">
        <v>1</v>
      </c>
      <c r="E369" s="133" t="s">
        <v>2114</v>
      </c>
      <c r="F369" s="133">
        <v>10</v>
      </c>
      <c r="G369" s="133">
        <v>9</v>
      </c>
      <c r="H369" s="133">
        <v>3</v>
      </c>
      <c r="I369" s="133">
        <v>1.75</v>
      </c>
      <c r="J369" s="133">
        <v>37.619999999999997</v>
      </c>
      <c r="K369" s="133">
        <v>100</v>
      </c>
      <c r="L369" s="133">
        <v>11.6</v>
      </c>
      <c r="M369" s="163">
        <v>317.8</v>
      </c>
      <c r="N369" s="38" t="b">
        <f>IF(CNC!C$14&gt;=L369,A369)</f>
        <v>0</v>
      </c>
      <c r="O369" s="25" t="b">
        <f>IF(CNC!C$15=I369,A369)</f>
        <v>0</v>
      </c>
      <c r="P369" s="25">
        <f>IF(CNC!C$16&lt;=J369,A369)</f>
        <v>368</v>
      </c>
      <c r="Q369" s="25">
        <f>IF(D369=CNC!AR$10,A369)</f>
        <v>368</v>
      </c>
      <c r="R369" s="25" t="b">
        <f t="shared" si="14"/>
        <v>0</v>
      </c>
    </row>
    <row r="370" spans="1:18" ht="17" customHeight="1">
      <c r="A370" s="4">
        <v>369</v>
      </c>
      <c r="B370" s="162">
        <v>1</v>
      </c>
      <c r="C370" s="162">
        <v>1</v>
      </c>
      <c r="D370" s="162">
        <v>1</v>
      </c>
      <c r="E370" s="133" t="s">
        <v>2115</v>
      </c>
      <c r="F370" s="133">
        <v>10</v>
      </c>
      <c r="G370" s="133">
        <v>9</v>
      </c>
      <c r="H370" s="133">
        <v>3</v>
      </c>
      <c r="I370" s="133">
        <v>1.75</v>
      </c>
      <c r="J370" s="133">
        <v>32.369999999999997</v>
      </c>
      <c r="K370" s="133">
        <v>100</v>
      </c>
      <c r="L370" s="133">
        <v>11.6</v>
      </c>
      <c r="M370" s="163">
        <v>288.8</v>
      </c>
      <c r="N370" s="38" t="b">
        <f>IF(CNC!C$14&gt;=L370,A370)</f>
        <v>0</v>
      </c>
      <c r="O370" s="25" t="b">
        <f>IF(CNC!C$15=I370,A370)</f>
        <v>0</v>
      </c>
      <c r="P370" s="25">
        <f>IF(CNC!C$16&lt;=J370,A370)</f>
        <v>369</v>
      </c>
      <c r="Q370" s="25">
        <f>IF(D370=CNC!AR$10,A370)</f>
        <v>369</v>
      </c>
      <c r="R370" s="25" t="b">
        <f t="shared" si="14"/>
        <v>0</v>
      </c>
    </row>
    <row r="371" spans="1:18" ht="17" customHeight="1">
      <c r="A371" s="4">
        <v>370</v>
      </c>
      <c r="B371" s="162">
        <v>1</v>
      </c>
      <c r="C371" s="162">
        <v>1</v>
      </c>
      <c r="D371" s="162">
        <v>1</v>
      </c>
      <c r="E371" s="133" t="s">
        <v>2116</v>
      </c>
      <c r="F371" s="133">
        <v>10</v>
      </c>
      <c r="G371" s="133">
        <v>9</v>
      </c>
      <c r="H371" s="133">
        <v>3</v>
      </c>
      <c r="I371" s="133">
        <v>1.75</v>
      </c>
      <c r="J371" s="133">
        <v>27.12</v>
      </c>
      <c r="K371" s="133">
        <v>76</v>
      </c>
      <c r="L371" s="133">
        <v>11.6</v>
      </c>
      <c r="M371" s="163">
        <v>262.7</v>
      </c>
      <c r="N371" s="38" t="b">
        <f>IF(CNC!C$14&gt;=L371,A371)</f>
        <v>0</v>
      </c>
      <c r="O371" s="25" t="b">
        <f>IF(CNC!C$15=I371,A371)</f>
        <v>0</v>
      </c>
      <c r="P371" s="25">
        <f>IF(CNC!C$16&lt;=J371,A371)</f>
        <v>370</v>
      </c>
      <c r="Q371" s="25">
        <f>IF(D371=CNC!AR$10,A371)</f>
        <v>370</v>
      </c>
      <c r="R371" s="25" t="b">
        <f t="shared" si="14"/>
        <v>0</v>
      </c>
    </row>
    <row r="372" spans="1:18" ht="17" customHeight="1">
      <c r="A372" s="4">
        <v>371</v>
      </c>
      <c r="B372" s="162">
        <v>1</v>
      </c>
      <c r="C372" s="162">
        <v>1</v>
      </c>
      <c r="D372" s="162">
        <v>1</v>
      </c>
      <c r="E372" s="133" t="s">
        <v>2117</v>
      </c>
      <c r="F372" s="133">
        <v>10</v>
      </c>
      <c r="G372" s="133">
        <v>9</v>
      </c>
      <c r="H372" s="133">
        <v>3</v>
      </c>
      <c r="I372" s="133">
        <v>1.75</v>
      </c>
      <c r="J372" s="133">
        <v>20.12</v>
      </c>
      <c r="K372" s="133">
        <v>76</v>
      </c>
      <c r="L372" s="133">
        <v>11.6</v>
      </c>
      <c r="M372" s="163">
        <v>238.9</v>
      </c>
      <c r="N372" s="38" t="b">
        <f>IF(CNC!C$14&gt;=L372,A372)</f>
        <v>0</v>
      </c>
      <c r="O372" s="25" t="b">
        <f>IF(CNC!C$15=I372,A372)</f>
        <v>0</v>
      </c>
      <c r="P372" s="25">
        <f>IF(CNC!C$16&lt;=J372,A372)</f>
        <v>371</v>
      </c>
      <c r="Q372" s="25">
        <f>IF(D372=CNC!AR$10,A372)</f>
        <v>371</v>
      </c>
      <c r="R372" s="25" t="b">
        <f t="shared" si="14"/>
        <v>0</v>
      </c>
    </row>
    <row r="373" spans="1:18" ht="17" customHeight="1">
      <c r="A373" s="4">
        <v>372</v>
      </c>
      <c r="B373" s="162">
        <v>1</v>
      </c>
      <c r="C373" s="162">
        <v>1</v>
      </c>
      <c r="D373" s="162">
        <v>2</v>
      </c>
      <c r="E373" s="133" t="s">
        <v>2118</v>
      </c>
      <c r="F373" s="133">
        <v>10</v>
      </c>
      <c r="G373" s="133">
        <v>9</v>
      </c>
      <c r="H373" s="133">
        <v>3</v>
      </c>
      <c r="I373" s="133">
        <v>13</v>
      </c>
      <c r="J373" s="133">
        <v>34.19</v>
      </c>
      <c r="K373" s="133">
        <v>100</v>
      </c>
      <c r="L373" s="133">
        <v>12.3</v>
      </c>
      <c r="M373" s="163">
        <v>288.8</v>
      </c>
      <c r="N373" s="38" t="b">
        <f>IF(CNC!C$14&gt;=L373,A373)</f>
        <v>0</v>
      </c>
      <c r="O373" s="25" t="b">
        <f>IF(CNC!C$15=I373,A373)</f>
        <v>0</v>
      </c>
      <c r="P373" s="25">
        <f>IF(CNC!C$16&lt;=J373,A373)</f>
        <v>372</v>
      </c>
      <c r="Q373" s="25" t="b">
        <f>IF(D373=CNC!AR$10,A373)</f>
        <v>0</v>
      </c>
      <c r="R373" s="25" t="b">
        <f t="shared" si="14"/>
        <v>0</v>
      </c>
    </row>
    <row r="374" spans="1:18" ht="17" customHeight="1">
      <c r="A374" s="4">
        <v>373</v>
      </c>
      <c r="B374" s="162">
        <v>1</v>
      </c>
      <c r="C374" s="162">
        <v>1</v>
      </c>
      <c r="D374" s="162">
        <v>2</v>
      </c>
      <c r="E374" s="133" t="s">
        <v>2119</v>
      </c>
      <c r="F374" s="133">
        <v>8</v>
      </c>
      <c r="G374" s="133">
        <v>8</v>
      </c>
      <c r="H374" s="133">
        <v>4</v>
      </c>
      <c r="I374" s="133">
        <v>28</v>
      </c>
      <c r="J374" s="133">
        <v>17.690000000000001</v>
      </c>
      <c r="K374" s="133">
        <v>63</v>
      </c>
      <c r="L374" s="133">
        <v>9.4</v>
      </c>
      <c r="M374" s="163">
        <v>187.8</v>
      </c>
      <c r="N374" s="38">
        <f>IF(CNC!C$14&gt;=L374,A374)</f>
        <v>373</v>
      </c>
      <c r="O374" s="25" t="b">
        <f>IF(CNC!C$15=I374,A374)</f>
        <v>0</v>
      </c>
      <c r="P374" s="25" t="b">
        <f>IF(CNC!C$16&lt;=J374,A374)</f>
        <v>0</v>
      </c>
      <c r="Q374" s="25" t="b">
        <f>IF(D374=CNC!AR$10,A374)</f>
        <v>0</v>
      </c>
      <c r="R374" s="25" t="b">
        <f t="shared" si="14"/>
        <v>0</v>
      </c>
    </row>
    <row r="375" spans="1:18" ht="17" customHeight="1">
      <c r="A375" s="4">
        <v>374</v>
      </c>
      <c r="B375" s="162">
        <v>1</v>
      </c>
      <c r="C375" s="162">
        <v>1</v>
      </c>
      <c r="D375" s="162">
        <v>1</v>
      </c>
      <c r="E375" s="133" t="s">
        <v>2120</v>
      </c>
      <c r="F375" s="133">
        <v>8</v>
      </c>
      <c r="G375" s="133">
        <v>8</v>
      </c>
      <c r="H375" s="133">
        <v>4</v>
      </c>
      <c r="I375" s="133">
        <v>1</v>
      </c>
      <c r="J375" s="133">
        <v>17.5</v>
      </c>
      <c r="K375" s="133">
        <v>63</v>
      </c>
      <c r="L375" s="133">
        <v>9.8000000000000007</v>
      </c>
      <c r="M375" s="163">
        <v>206.6</v>
      </c>
      <c r="N375" s="38">
        <f>IF(CNC!C$14&gt;=L375,A375)</f>
        <v>374</v>
      </c>
      <c r="O375" s="25" t="b">
        <f>IF(CNC!C$15=I375,A375)</f>
        <v>0</v>
      </c>
      <c r="P375" s="25" t="b">
        <f>IF(CNC!C$16&lt;=J375,A375)</f>
        <v>0</v>
      </c>
      <c r="Q375" s="25">
        <f>IF(D375=CNC!AR$10,A375)</f>
        <v>374</v>
      </c>
      <c r="R375" s="25" t="b">
        <f t="shared" si="14"/>
        <v>0</v>
      </c>
    </row>
    <row r="376" spans="1:18" ht="17" customHeight="1">
      <c r="A376" s="4">
        <v>375</v>
      </c>
      <c r="B376" s="162">
        <v>1</v>
      </c>
      <c r="C376" s="162">
        <v>1</v>
      </c>
      <c r="D376" s="162">
        <v>1</v>
      </c>
      <c r="E376" s="133" t="s">
        <v>2121</v>
      </c>
      <c r="F376" s="133">
        <v>8</v>
      </c>
      <c r="G376" s="133">
        <v>8</v>
      </c>
      <c r="H376" s="133">
        <v>4</v>
      </c>
      <c r="I376" s="133">
        <v>1</v>
      </c>
      <c r="J376" s="133">
        <v>13.5</v>
      </c>
      <c r="K376" s="133">
        <v>63</v>
      </c>
      <c r="L376" s="133">
        <v>9.8000000000000007</v>
      </c>
      <c r="M376" s="163">
        <v>187.8</v>
      </c>
      <c r="N376" s="38">
        <f>IF(CNC!C$14&gt;=L376,A376)</f>
        <v>375</v>
      </c>
      <c r="O376" s="25" t="b">
        <f>IF(CNC!C$15=I376,A376)</f>
        <v>0</v>
      </c>
      <c r="P376" s="25" t="b">
        <f>IF(CNC!C$16&lt;=J376,A376)</f>
        <v>0</v>
      </c>
      <c r="Q376" s="25">
        <f>IF(D376=CNC!AR$10,A376)</f>
        <v>375</v>
      </c>
      <c r="R376" s="25" t="b">
        <f t="shared" ref="R376:R381" si="15">IF(N376=FALSE,FALSE,IF(O376=FALSE,FALSE,IF(P376=FALSE,FALSE,IF(Q376=FALSE,FALSE,A376))))</f>
        <v>0</v>
      </c>
    </row>
    <row r="377" spans="1:18" ht="17" customHeight="1">
      <c r="A377" s="4">
        <v>376</v>
      </c>
      <c r="B377" s="162">
        <v>1</v>
      </c>
      <c r="C377" s="162">
        <v>1</v>
      </c>
      <c r="D377" s="162">
        <v>1</v>
      </c>
      <c r="E377" s="133" t="s">
        <v>2122</v>
      </c>
      <c r="F377" s="133">
        <v>8</v>
      </c>
      <c r="G377" s="133">
        <v>8</v>
      </c>
      <c r="H377" s="133">
        <v>4</v>
      </c>
      <c r="I377" s="133">
        <v>1</v>
      </c>
      <c r="J377" s="133">
        <v>10.5</v>
      </c>
      <c r="K377" s="133">
        <v>63</v>
      </c>
      <c r="L377" s="133">
        <v>9.8000000000000007</v>
      </c>
      <c r="M377" s="163">
        <v>170.7</v>
      </c>
      <c r="N377" s="38">
        <f>IF(CNC!C$14&gt;=L377,A377)</f>
        <v>376</v>
      </c>
      <c r="O377" s="25" t="b">
        <f>IF(CNC!C$15=I377,A377)</f>
        <v>0</v>
      </c>
      <c r="P377" s="25" t="b">
        <f>IF(CNC!C$16&lt;=J377,A377)</f>
        <v>0</v>
      </c>
      <c r="Q377" s="25">
        <f>IF(D377=CNC!AR$10,A377)</f>
        <v>376</v>
      </c>
      <c r="R377" s="25" t="b">
        <f t="shared" si="15"/>
        <v>0</v>
      </c>
    </row>
    <row r="378" spans="1:18" ht="17" customHeight="1">
      <c r="A378" s="4">
        <v>377</v>
      </c>
      <c r="B378" s="162">
        <v>1</v>
      </c>
      <c r="C378" s="162">
        <v>1</v>
      </c>
      <c r="D378" s="162">
        <v>2</v>
      </c>
      <c r="E378" s="133" t="s">
        <v>2123</v>
      </c>
      <c r="F378" s="133">
        <v>8</v>
      </c>
      <c r="G378" s="133">
        <v>8</v>
      </c>
      <c r="H378" s="133">
        <v>3</v>
      </c>
      <c r="I378" s="133">
        <v>14</v>
      </c>
      <c r="J378" s="133">
        <v>29.94</v>
      </c>
      <c r="K378" s="133">
        <v>76</v>
      </c>
      <c r="L378" s="133">
        <v>10.712</v>
      </c>
      <c r="M378" s="163">
        <v>227</v>
      </c>
      <c r="N378" s="38" t="b">
        <f>IF(CNC!C$14&gt;=L378,A378)</f>
        <v>0</v>
      </c>
      <c r="O378" s="25" t="b">
        <f>IF(CNC!C$15=I378,A378)</f>
        <v>0</v>
      </c>
      <c r="P378" s="25">
        <f>IF(CNC!C$16&lt;=J378,A378)</f>
        <v>377</v>
      </c>
      <c r="Q378" s="25" t="b">
        <f>IF(D378=CNC!AR$10,A378)</f>
        <v>0</v>
      </c>
      <c r="R378" s="25" t="b">
        <f t="shared" si="15"/>
        <v>0</v>
      </c>
    </row>
    <row r="379" spans="1:18" ht="17" customHeight="1">
      <c r="A379" s="4">
        <v>378</v>
      </c>
      <c r="B379" s="162">
        <v>1</v>
      </c>
      <c r="C379" s="162">
        <v>1</v>
      </c>
      <c r="D379" s="162">
        <v>2</v>
      </c>
      <c r="E379" s="133" t="s">
        <v>2124</v>
      </c>
      <c r="F379" s="133">
        <v>8</v>
      </c>
      <c r="G379" s="133">
        <v>8</v>
      </c>
      <c r="H379" s="133">
        <v>3</v>
      </c>
      <c r="I379" s="133">
        <v>13</v>
      </c>
      <c r="J379" s="133">
        <v>28.33</v>
      </c>
      <c r="K379" s="133">
        <v>76</v>
      </c>
      <c r="L379" s="133">
        <v>12.3</v>
      </c>
      <c r="M379" s="163">
        <v>206.6</v>
      </c>
      <c r="N379" s="38" t="b">
        <f>IF(CNC!C$14&gt;=L379,A379)</f>
        <v>0</v>
      </c>
      <c r="O379" s="25" t="b">
        <f>IF(CNC!C$15=I379,A379)</f>
        <v>0</v>
      </c>
      <c r="P379" s="25">
        <f>IF(CNC!C$16&lt;=J379,A379)</f>
        <v>378</v>
      </c>
      <c r="Q379" s="25" t="b">
        <f>IF(D379=CNC!AR$10,A379)</f>
        <v>0</v>
      </c>
      <c r="R379" s="25" t="b">
        <f t="shared" si="15"/>
        <v>0</v>
      </c>
    </row>
    <row r="380" spans="1:18" ht="17" customHeight="1">
      <c r="A380" s="4">
        <v>379</v>
      </c>
      <c r="B380" s="162">
        <v>1</v>
      </c>
      <c r="C380" s="162">
        <v>1</v>
      </c>
      <c r="D380" s="162">
        <v>1</v>
      </c>
      <c r="E380" s="133" t="s">
        <v>2125</v>
      </c>
      <c r="F380" s="133">
        <v>8</v>
      </c>
      <c r="G380" s="133">
        <v>8</v>
      </c>
      <c r="H380" s="133">
        <v>3</v>
      </c>
      <c r="I380" s="133">
        <v>1.75</v>
      </c>
      <c r="J380" s="133">
        <v>27.12</v>
      </c>
      <c r="K380" s="133">
        <v>76</v>
      </c>
      <c r="L380" s="133">
        <v>11.6</v>
      </c>
      <c r="M380" s="163">
        <v>206.6</v>
      </c>
      <c r="N380" s="38" t="b">
        <f>IF(CNC!C$14&gt;=L380,A380)</f>
        <v>0</v>
      </c>
      <c r="O380" s="25" t="b">
        <f>IF(CNC!C$15=I380,A380)</f>
        <v>0</v>
      </c>
      <c r="P380" s="25">
        <f>IF(CNC!C$16&lt;=J380,A380)</f>
        <v>379</v>
      </c>
      <c r="Q380" s="25">
        <f>IF(D380=CNC!AR$10,A380)</f>
        <v>379</v>
      </c>
      <c r="R380" s="25" t="b">
        <f t="shared" si="15"/>
        <v>0</v>
      </c>
    </row>
    <row r="381" spans="1:18" ht="17" customHeight="1">
      <c r="A381" s="4">
        <v>380</v>
      </c>
      <c r="B381" s="162">
        <v>1</v>
      </c>
      <c r="C381" s="162">
        <v>1</v>
      </c>
      <c r="D381" s="162">
        <v>2</v>
      </c>
      <c r="E381" s="133" t="s">
        <v>2126</v>
      </c>
      <c r="F381" s="133">
        <v>8</v>
      </c>
      <c r="G381" s="133">
        <v>8</v>
      </c>
      <c r="H381" s="133">
        <v>3</v>
      </c>
      <c r="I381" s="133">
        <v>14</v>
      </c>
      <c r="J381" s="133">
        <v>24.49</v>
      </c>
      <c r="K381" s="133">
        <v>76</v>
      </c>
      <c r="L381" s="133">
        <v>10.712</v>
      </c>
      <c r="M381" s="163">
        <v>206.6</v>
      </c>
      <c r="N381" s="38" t="b">
        <f>IF(CNC!C$14&gt;=L381,A381)</f>
        <v>0</v>
      </c>
      <c r="O381" s="25" t="b">
        <f>IF(CNC!C$15=I381,A381)</f>
        <v>0</v>
      </c>
      <c r="P381" s="25">
        <f>IF(CNC!C$16&lt;=J381,A381)</f>
        <v>380</v>
      </c>
      <c r="Q381" s="25" t="b">
        <f>IF(D381=CNC!AR$10,A381)</f>
        <v>0</v>
      </c>
      <c r="R381" s="25" t="b">
        <f t="shared" si="15"/>
        <v>0</v>
      </c>
    </row>
    <row r="382" spans="1:18" ht="17" customHeight="1">
      <c r="A382" s="4">
        <v>381</v>
      </c>
      <c r="B382" s="162">
        <v>1</v>
      </c>
      <c r="C382" s="162">
        <v>1</v>
      </c>
      <c r="D382" s="162">
        <v>2</v>
      </c>
      <c r="E382" s="133" t="s">
        <v>2127</v>
      </c>
      <c r="F382" s="133">
        <v>8</v>
      </c>
      <c r="G382" s="133">
        <v>8</v>
      </c>
      <c r="H382" s="133">
        <v>3</v>
      </c>
      <c r="I382" s="133">
        <v>20</v>
      </c>
      <c r="J382" s="133">
        <v>23.5</v>
      </c>
      <c r="K382" s="133">
        <v>76</v>
      </c>
      <c r="L382" s="133">
        <v>10.712</v>
      </c>
      <c r="M382" s="163">
        <v>227</v>
      </c>
      <c r="N382" s="38" t="b">
        <f>IF(CNC!C$14&gt;=L382,A382)</f>
        <v>0</v>
      </c>
      <c r="O382" s="25" t="b">
        <f>IF(CNC!C$15=I382,A382)</f>
        <v>0</v>
      </c>
      <c r="P382" s="25">
        <f>IF(CNC!C$16&lt;=J382,A382)</f>
        <v>381</v>
      </c>
      <c r="Q382" s="25" t="b">
        <f>IF(D382=CNC!AR$10,A382)</f>
        <v>0</v>
      </c>
      <c r="R382" s="25" t="b">
        <f t="shared" ref="R382:R445" si="16">IF(N382=FALSE,FALSE,IF(O382=FALSE,FALSE,IF(P382=FALSE,FALSE,IF(Q382=FALSE,FALSE,A382))))</f>
        <v>0</v>
      </c>
    </row>
    <row r="383" spans="1:18" ht="17" customHeight="1">
      <c r="A383" s="4">
        <v>382</v>
      </c>
      <c r="B383" s="162">
        <v>1</v>
      </c>
      <c r="C383" s="162">
        <v>1</v>
      </c>
      <c r="D383" s="162">
        <v>2</v>
      </c>
      <c r="E383" s="133" t="s">
        <v>2128</v>
      </c>
      <c r="F383" s="133">
        <v>8</v>
      </c>
      <c r="G383" s="133">
        <v>8</v>
      </c>
      <c r="H383" s="133">
        <v>3</v>
      </c>
      <c r="I383" s="133">
        <v>13</v>
      </c>
      <c r="J383" s="133">
        <v>22.47</v>
      </c>
      <c r="K383" s="133">
        <v>76</v>
      </c>
      <c r="L383" s="133">
        <v>12.3</v>
      </c>
      <c r="M383" s="163">
        <v>187.8</v>
      </c>
      <c r="N383" s="38" t="b">
        <f>IF(CNC!C$14&gt;=L383,A383)</f>
        <v>0</v>
      </c>
      <c r="O383" s="25" t="b">
        <f>IF(CNC!C$15=I383,A383)</f>
        <v>0</v>
      </c>
      <c r="P383" s="25">
        <f>IF(CNC!C$16&lt;=J383,A383)</f>
        <v>382</v>
      </c>
      <c r="Q383" s="25" t="b">
        <f>IF(D383=CNC!AR$10,A383)</f>
        <v>0</v>
      </c>
      <c r="R383" s="25" t="b">
        <f t="shared" si="16"/>
        <v>0</v>
      </c>
    </row>
    <row r="384" spans="1:18" ht="17" customHeight="1">
      <c r="A384" s="4">
        <v>383</v>
      </c>
      <c r="B384" s="162">
        <v>1</v>
      </c>
      <c r="C384" s="162">
        <v>1</v>
      </c>
      <c r="D384" s="162">
        <v>1</v>
      </c>
      <c r="E384" s="133" t="s">
        <v>2129</v>
      </c>
      <c r="F384" s="133">
        <v>8</v>
      </c>
      <c r="G384" s="133">
        <v>8</v>
      </c>
      <c r="H384" s="133">
        <v>3</v>
      </c>
      <c r="I384" s="133">
        <v>1.75</v>
      </c>
      <c r="J384" s="133">
        <v>20.12</v>
      </c>
      <c r="K384" s="133">
        <v>76</v>
      </c>
      <c r="L384" s="133">
        <v>11.6</v>
      </c>
      <c r="M384" s="163">
        <v>187.8</v>
      </c>
      <c r="N384" s="38" t="b">
        <f>IF(CNC!C$14&gt;=L384,A384)</f>
        <v>0</v>
      </c>
      <c r="O384" s="25" t="b">
        <f>IF(CNC!C$15=I384,A384)</f>
        <v>0</v>
      </c>
      <c r="P384" s="25">
        <f>IF(CNC!C$16&lt;=J384,A384)</f>
        <v>383</v>
      </c>
      <c r="Q384" s="25">
        <f>IF(D384=CNC!AR$10,A384)</f>
        <v>383</v>
      </c>
      <c r="R384" s="25" t="b">
        <f t="shared" si="16"/>
        <v>0</v>
      </c>
    </row>
    <row r="385" spans="1:18" ht="17" customHeight="1">
      <c r="A385" s="4">
        <v>384</v>
      </c>
      <c r="B385" s="162">
        <v>1</v>
      </c>
      <c r="C385" s="162">
        <v>1</v>
      </c>
      <c r="D385" s="162">
        <v>2</v>
      </c>
      <c r="E385" s="133" t="s">
        <v>2130</v>
      </c>
      <c r="F385" s="133">
        <v>8</v>
      </c>
      <c r="G385" s="133">
        <v>8</v>
      </c>
      <c r="H385" s="133">
        <v>3</v>
      </c>
      <c r="I385" s="133">
        <v>14</v>
      </c>
      <c r="J385" s="133">
        <v>19.05</v>
      </c>
      <c r="K385" s="133">
        <v>63</v>
      </c>
      <c r="L385" s="133">
        <v>10.712</v>
      </c>
      <c r="M385" s="163">
        <v>187.8</v>
      </c>
      <c r="N385" s="38" t="b">
        <f>IF(CNC!C$14&gt;=L385,A385)</f>
        <v>0</v>
      </c>
      <c r="O385" s="25" t="b">
        <f>IF(CNC!C$15=I385,A385)</f>
        <v>0</v>
      </c>
      <c r="P385" s="25" t="b">
        <f>IF(CNC!C$16&lt;=J385,A385)</f>
        <v>0</v>
      </c>
      <c r="Q385" s="25" t="b">
        <f>IF(D385=CNC!AR$10,A385)</f>
        <v>0</v>
      </c>
      <c r="R385" s="25" t="b">
        <f t="shared" si="16"/>
        <v>0</v>
      </c>
    </row>
    <row r="386" spans="1:18" ht="17" customHeight="1">
      <c r="A386" s="4">
        <v>385</v>
      </c>
      <c r="B386" s="162">
        <v>1</v>
      </c>
      <c r="C386" s="162">
        <v>1</v>
      </c>
      <c r="D386" s="162">
        <v>2</v>
      </c>
      <c r="E386" s="133" t="s">
        <v>2131</v>
      </c>
      <c r="F386" s="133">
        <v>8</v>
      </c>
      <c r="G386" s="133">
        <v>8</v>
      </c>
      <c r="H386" s="133">
        <v>3</v>
      </c>
      <c r="I386" s="133">
        <v>20</v>
      </c>
      <c r="J386" s="133">
        <v>18.41</v>
      </c>
      <c r="K386" s="133">
        <v>63</v>
      </c>
      <c r="L386" s="133">
        <v>10.712</v>
      </c>
      <c r="M386" s="163">
        <v>206.6</v>
      </c>
      <c r="N386" s="38" t="b">
        <f>IF(CNC!C$14&gt;=L386,A386)</f>
        <v>0</v>
      </c>
      <c r="O386" s="25" t="b">
        <f>IF(CNC!C$15=I386,A386)</f>
        <v>0</v>
      </c>
      <c r="P386" s="25" t="b">
        <f>IF(CNC!C$16&lt;=J386,A386)</f>
        <v>0</v>
      </c>
      <c r="Q386" s="25" t="b">
        <f>IF(D386=CNC!AR$10,A386)</f>
        <v>0</v>
      </c>
      <c r="R386" s="25" t="b">
        <f t="shared" si="16"/>
        <v>0</v>
      </c>
    </row>
    <row r="387" spans="1:18" ht="17" customHeight="1">
      <c r="A387" s="4">
        <v>386</v>
      </c>
      <c r="B387" s="162">
        <v>1</v>
      </c>
      <c r="C387" s="162">
        <v>1</v>
      </c>
      <c r="D387" s="162">
        <v>2</v>
      </c>
      <c r="E387" s="133" t="s">
        <v>2132</v>
      </c>
      <c r="F387" s="133">
        <v>8</v>
      </c>
      <c r="G387" s="133">
        <v>7</v>
      </c>
      <c r="H387" s="133">
        <v>3</v>
      </c>
      <c r="I387" s="133">
        <v>16</v>
      </c>
      <c r="J387" s="133">
        <v>26.19</v>
      </c>
      <c r="K387" s="133">
        <v>76</v>
      </c>
      <c r="L387" s="133">
        <v>9.3249999999999993</v>
      </c>
      <c r="M387" s="163">
        <v>227</v>
      </c>
      <c r="N387" s="38">
        <f>IF(CNC!C$14&gt;=L387,A387)</f>
        <v>386</v>
      </c>
      <c r="O387" s="25" t="b">
        <f>IF(CNC!C$15=I387,A387)</f>
        <v>0</v>
      </c>
      <c r="P387" s="25">
        <f>IF(CNC!C$16&lt;=J387,A387)</f>
        <v>386</v>
      </c>
      <c r="Q387" s="25" t="b">
        <f>IF(D387=CNC!AR$10,A387)</f>
        <v>0</v>
      </c>
      <c r="R387" s="25" t="b">
        <f t="shared" si="16"/>
        <v>0</v>
      </c>
    </row>
    <row r="388" spans="1:18" ht="17" customHeight="1">
      <c r="A388" s="4">
        <v>387</v>
      </c>
      <c r="B388" s="162">
        <v>1</v>
      </c>
      <c r="C388" s="162">
        <v>1</v>
      </c>
      <c r="D388" s="162">
        <v>2</v>
      </c>
      <c r="E388" s="133" t="s">
        <v>2133</v>
      </c>
      <c r="F388" s="133">
        <v>8</v>
      </c>
      <c r="G388" s="133">
        <v>7.6</v>
      </c>
      <c r="H388" s="133">
        <v>3</v>
      </c>
      <c r="I388" s="133">
        <v>24</v>
      </c>
      <c r="J388" s="133">
        <v>20.64</v>
      </c>
      <c r="K388" s="133">
        <v>76</v>
      </c>
      <c r="L388" s="133">
        <v>9.3249999999999993</v>
      </c>
      <c r="M388" s="163">
        <v>227</v>
      </c>
      <c r="N388" s="38">
        <f>IF(CNC!C$14&gt;=L388,A388)</f>
        <v>387</v>
      </c>
      <c r="O388" s="25" t="b">
        <f>IF(CNC!C$15=I388,A388)</f>
        <v>0</v>
      </c>
      <c r="P388" s="25">
        <f>IF(CNC!C$16&lt;=J388,A388)</f>
        <v>387</v>
      </c>
      <c r="Q388" s="25" t="b">
        <f>IF(D388=CNC!AR$10,A388)</f>
        <v>0</v>
      </c>
      <c r="R388" s="25" t="b">
        <f t="shared" si="16"/>
        <v>0</v>
      </c>
    </row>
    <row r="389" spans="1:18" ht="17" customHeight="1">
      <c r="A389" s="4">
        <v>388</v>
      </c>
      <c r="B389" s="162">
        <v>1</v>
      </c>
      <c r="C389" s="162">
        <v>1</v>
      </c>
      <c r="D389" s="162">
        <v>2</v>
      </c>
      <c r="E389" s="133" t="s">
        <v>2134</v>
      </c>
      <c r="F389" s="133">
        <v>8</v>
      </c>
      <c r="G389" s="133">
        <v>7.6</v>
      </c>
      <c r="H389" s="133">
        <v>3</v>
      </c>
      <c r="I389" s="133">
        <v>24</v>
      </c>
      <c r="J389" s="133">
        <v>15.35</v>
      </c>
      <c r="K389" s="133">
        <v>63</v>
      </c>
      <c r="L389" s="133">
        <v>9.3249999999999993</v>
      </c>
      <c r="M389" s="163">
        <v>206.6</v>
      </c>
      <c r="N389" s="38">
        <f>IF(CNC!C$14&gt;=L389,A389)</f>
        <v>388</v>
      </c>
      <c r="O389" s="25" t="b">
        <f>IF(CNC!C$15=I389,A389)</f>
        <v>0</v>
      </c>
      <c r="P389" s="25" t="b">
        <f>IF(CNC!C$16&lt;=J389,A389)</f>
        <v>0</v>
      </c>
      <c r="Q389" s="25" t="b">
        <f>IF(D389=CNC!AR$10,A389)</f>
        <v>0</v>
      </c>
      <c r="R389" s="25" t="b">
        <f t="shared" si="16"/>
        <v>0</v>
      </c>
    </row>
    <row r="390" spans="1:18" ht="17" customHeight="1">
      <c r="A390" s="4">
        <v>389</v>
      </c>
      <c r="B390" s="162">
        <v>1</v>
      </c>
      <c r="C390" s="162">
        <v>1</v>
      </c>
      <c r="D390" s="162">
        <v>1</v>
      </c>
      <c r="E390" s="133" t="s">
        <v>2135</v>
      </c>
      <c r="F390" s="133">
        <v>8</v>
      </c>
      <c r="G390" s="133">
        <v>7.5</v>
      </c>
      <c r="H390" s="133">
        <v>3</v>
      </c>
      <c r="I390" s="133">
        <v>1.5</v>
      </c>
      <c r="J390" s="133">
        <v>32.25</v>
      </c>
      <c r="K390" s="133">
        <v>76</v>
      </c>
      <c r="L390" s="133">
        <v>9.6</v>
      </c>
      <c r="M390" s="163">
        <v>249.9</v>
      </c>
      <c r="N390" s="38">
        <f>IF(CNC!C$14&gt;=L390,A390)</f>
        <v>389</v>
      </c>
      <c r="O390" s="25">
        <f>IF(CNC!C$15=I390,A390)</f>
        <v>389</v>
      </c>
      <c r="P390" s="25">
        <f>IF(CNC!C$16&lt;=J390,A390)</f>
        <v>389</v>
      </c>
      <c r="Q390" s="25">
        <f>IF(D390=CNC!AR$10,A390)</f>
        <v>389</v>
      </c>
      <c r="R390" s="25">
        <f t="shared" si="16"/>
        <v>389</v>
      </c>
    </row>
    <row r="391" spans="1:18" ht="17" customHeight="1">
      <c r="A391" s="4">
        <v>390</v>
      </c>
      <c r="B391" s="162">
        <v>1</v>
      </c>
      <c r="C391" s="162">
        <v>1</v>
      </c>
      <c r="D391" s="162">
        <v>1</v>
      </c>
      <c r="E391" s="133" t="s">
        <v>2136</v>
      </c>
      <c r="F391" s="133">
        <v>8</v>
      </c>
      <c r="G391" s="133">
        <v>7.5</v>
      </c>
      <c r="H391" s="133">
        <v>3</v>
      </c>
      <c r="I391" s="133">
        <v>1.5</v>
      </c>
      <c r="J391" s="133">
        <v>27.75</v>
      </c>
      <c r="K391" s="133">
        <v>76</v>
      </c>
      <c r="L391" s="133">
        <v>9.6</v>
      </c>
      <c r="M391" s="163">
        <v>227</v>
      </c>
      <c r="N391" s="38">
        <f>IF(CNC!C$14&gt;=L391,A391)</f>
        <v>390</v>
      </c>
      <c r="O391" s="25">
        <f>IF(CNC!C$15=I391,A391)</f>
        <v>390</v>
      </c>
      <c r="P391" s="25">
        <f>IF(CNC!C$16&lt;=J391,A391)</f>
        <v>390</v>
      </c>
      <c r="Q391" s="25">
        <f>IF(D391=CNC!AR$10,A391)</f>
        <v>390</v>
      </c>
      <c r="R391" s="25">
        <f t="shared" si="16"/>
        <v>390</v>
      </c>
    </row>
    <row r="392" spans="1:18" ht="17" customHeight="1">
      <c r="A392" s="4">
        <v>391</v>
      </c>
      <c r="B392" s="162">
        <v>1</v>
      </c>
      <c r="C392" s="162">
        <v>1</v>
      </c>
      <c r="D392" s="162">
        <v>1</v>
      </c>
      <c r="E392" s="133" t="s">
        <v>2137</v>
      </c>
      <c r="F392" s="133">
        <v>8</v>
      </c>
      <c r="G392" s="133">
        <v>7.5</v>
      </c>
      <c r="H392" s="133">
        <v>3</v>
      </c>
      <c r="I392" s="133">
        <v>1.5</v>
      </c>
      <c r="J392" s="133">
        <v>21.75</v>
      </c>
      <c r="K392" s="133">
        <v>76</v>
      </c>
      <c r="L392" s="133">
        <v>9.6</v>
      </c>
      <c r="M392" s="163">
        <v>206.6</v>
      </c>
      <c r="N392" s="38">
        <f>IF(CNC!C$14&gt;=L392,A392)</f>
        <v>391</v>
      </c>
      <c r="O392" s="25">
        <f>IF(CNC!C$15=I392,A392)</f>
        <v>391</v>
      </c>
      <c r="P392" s="25">
        <f>IF(CNC!C$16&lt;=J392,A392)</f>
        <v>391</v>
      </c>
      <c r="Q392" s="25">
        <f>IF(D392=CNC!AR$10,A392)</f>
        <v>391</v>
      </c>
      <c r="R392" s="25">
        <f t="shared" si="16"/>
        <v>391</v>
      </c>
    </row>
    <row r="393" spans="1:18" ht="17" customHeight="1">
      <c r="A393" s="4">
        <v>392</v>
      </c>
      <c r="B393" s="162">
        <v>1</v>
      </c>
      <c r="C393" s="162">
        <v>1</v>
      </c>
      <c r="D393" s="162">
        <v>1</v>
      </c>
      <c r="E393" s="133" t="s">
        <v>2138</v>
      </c>
      <c r="F393" s="133">
        <v>8</v>
      </c>
      <c r="G393" s="133">
        <v>7.5</v>
      </c>
      <c r="H393" s="133">
        <v>3</v>
      </c>
      <c r="I393" s="133">
        <v>1.5</v>
      </c>
      <c r="J393" s="133">
        <v>17.25</v>
      </c>
      <c r="K393" s="133">
        <v>63</v>
      </c>
      <c r="L393" s="133">
        <v>9.6</v>
      </c>
      <c r="M393" s="163">
        <v>187.8</v>
      </c>
      <c r="N393" s="38">
        <f>IF(CNC!C$14&gt;=L393,A393)</f>
        <v>392</v>
      </c>
      <c r="O393" s="25">
        <f>IF(CNC!C$15=I393,A393)</f>
        <v>392</v>
      </c>
      <c r="P393" s="25" t="b">
        <f>IF(CNC!C$16&lt;=J393,A393)</f>
        <v>0</v>
      </c>
      <c r="Q393" s="25">
        <f>IF(D393=CNC!AR$10,A393)</f>
        <v>392</v>
      </c>
      <c r="R393" s="25" t="b">
        <f t="shared" si="16"/>
        <v>0</v>
      </c>
    </row>
    <row r="394" spans="1:18" ht="17" customHeight="1">
      <c r="A394" s="4">
        <v>393</v>
      </c>
      <c r="B394" s="162">
        <v>1</v>
      </c>
      <c r="C394" s="162">
        <v>1</v>
      </c>
      <c r="D394" s="162">
        <v>2</v>
      </c>
      <c r="E394" s="133" t="s">
        <v>2139</v>
      </c>
      <c r="F394" s="133">
        <v>6</v>
      </c>
      <c r="G394" s="133">
        <v>6</v>
      </c>
      <c r="H394" s="133">
        <v>4</v>
      </c>
      <c r="I394" s="133">
        <v>32</v>
      </c>
      <c r="J394" s="133">
        <v>13.1</v>
      </c>
      <c r="K394" s="133">
        <v>63</v>
      </c>
      <c r="L394" s="133">
        <v>7.2</v>
      </c>
      <c r="M394" s="163">
        <v>148.4</v>
      </c>
      <c r="N394" s="38">
        <f>IF(CNC!C$14&gt;=L394,A394)</f>
        <v>393</v>
      </c>
      <c r="O394" s="25" t="b">
        <f>IF(CNC!C$15=I394,A394)</f>
        <v>0</v>
      </c>
      <c r="P394" s="25" t="b">
        <f>IF(CNC!C$16&lt;=J394,A394)</f>
        <v>0</v>
      </c>
      <c r="Q394" s="25" t="b">
        <f>IF(D394=CNC!AR$10,A394)</f>
        <v>0</v>
      </c>
      <c r="R394" s="25" t="b">
        <f t="shared" si="16"/>
        <v>0</v>
      </c>
    </row>
    <row r="395" spans="1:18" ht="17" customHeight="1">
      <c r="A395" s="4">
        <v>394</v>
      </c>
      <c r="B395" s="162">
        <v>1</v>
      </c>
      <c r="C395" s="162">
        <v>1</v>
      </c>
      <c r="D395" s="162">
        <v>1</v>
      </c>
      <c r="E395" s="133" t="s">
        <v>2140</v>
      </c>
      <c r="F395" s="133">
        <v>6</v>
      </c>
      <c r="G395" s="133">
        <v>6</v>
      </c>
      <c r="H395" s="133">
        <v>3</v>
      </c>
      <c r="I395" s="133">
        <v>1.25</v>
      </c>
      <c r="J395" s="133">
        <v>25.62</v>
      </c>
      <c r="K395" s="133">
        <v>76</v>
      </c>
      <c r="L395" s="133">
        <v>7.8</v>
      </c>
      <c r="M395" s="163">
        <v>197.5</v>
      </c>
      <c r="N395" s="38">
        <f>IF(CNC!C$14&gt;=L395,A395)</f>
        <v>394</v>
      </c>
      <c r="O395" s="25" t="b">
        <f>IF(CNC!C$15=I395,A395)</f>
        <v>0</v>
      </c>
      <c r="P395" s="25">
        <f>IF(CNC!C$16&lt;=J395,A395)</f>
        <v>394</v>
      </c>
      <c r="Q395" s="25">
        <f>IF(D395=CNC!AR$10,A395)</f>
        <v>394</v>
      </c>
      <c r="R395" s="25" t="b">
        <f t="shared" si="16"/>
        <v>0</v>
      </c>
    </row>
    <row r="396" spans="1:18" ht="17" customHeight="1">
      <c r="A396" s="4">
        <v>395</v>
      </c>
      <c r="B396" s="162">
        <v>1</v>
      </c>
      <c r="C396" s="162">
        <v>1</v>
      </c>
      <c r="D396" s="162">
        <v>2</v>
      </c>
      <c r="E396" s="133" t="s">
        <v>2141</v>
      </c>
      <c r="F396" s="133">
        <v>6</v>
      </c>
      <c r="G396" s="133">
        <v>6</v>
      </c>
      <c r="H396" s="133">
        <v>3</v>
      </c>
      <c r="I396" s="133">
        <v>16</v>
      </c>
      <c r="J396" s="133">
        <v>21.43</v>
      </c>
      <c r="K396" s="133">
        <v>63</v>
      </c>
      <c r="L396" s="133">
        <v>9.3249999999999993</v>
      </c>
      <c r="M396" s="163">
        <v>163.30000000000001</v>
      </c>
      <c r="N396" s="38">
        <f>IF(CNC!C$14&gt;=L396,A396)</f>
        <v>395</v>
      </c>
      <c r="O396" s="25" t="b">
        <f>IF(CNC!C$15=I396,A396)</f>
        <v>0</v>
      </c>
      <c r="P396" s="25">
        <f>IF(CNC!C$16&lt;=J396,A396)</f>
        <v>395</v>
      </c>
      <c r="Q396" s="25" t="b">
        <f>IF(D396=CNC!AR$10,A396)</f>
        <v>0</v>
      </c>
      <c r="R396" s="25" t="b">
        <f t="shared" si="16"/>
        <v>0</v>
      </c>
    </row>
    <row r="397" spans="1:18" ht="17" customHeight="1">
      <c r="A397" s="4">
        <v>396</v>
      </c>
      <c r="B397" s="162">
        <v>1</v>
      </c>
      <c r="C397" s="162">
        <v>1</v>
      </c>
      <c r="D397" s="162">
        <v>1</v>
      </c>
      <c r="E397" s="133" t="s">
        <v>2142</v>
      </c>
      <c r="F397" s="133">
        <v>6</v>
      </c>
      <c r="G397" s="133">
        <v>6</v>
      </c>
      <c r="H397" s="133">
        <v>3</v>
      </c>
      <c r="I397" s="133">
        <v>1.25</v>
      </c>
      <c r="J397" s="133">
        <v>21.87</v>
      </c>
      <c r="K397" s="133">
        <v>63</v>
      </c>
      <c r="L397" s="133">
        <v>7.8</v>
      </c>
      <c r="M397" s="163">
        <v>179.5</v>
      </c>
      <c r="N397" s="38">
        <f>IF(CNC!C$14&gt;=L397,A397)</f>
        <v>396</v>
      </c>
      <c r="O397" s="25" t="b">
        <f>IF(CNC!C$15=I397,A397)</f>
        <v>0</v>
      </c>
      <c r="P397" s="25">
        <f>IF(CNC!C$16&lt;=J397,A397)</f>
        <v>396</v>
      </c>
      <c r="Q397" s="25">
        <f>IF(D397=CNC!AR$10,A397)</f>
        <v>396</v>
      </c>
      <c r="R397" s="25" t="b">
        <f t="shared" si="16"/>
        <v>0</v>
      </c>
    </row>
    <row r="398" spans="1:18" ht="17" customHeight="1">
      <c r="A398" s="4">
        <v>397</v>
      </c>
      <c r="B398" s="162">
        <v>1</v>
      </c>
      <c r="C398" s="162">
        <v>1</v>
      </c>
      <c r="D398" s="162">
        <v>1</v>
      </c>
      <c r="E398" s="133" t="s">
        <v>2143</v>
      </c>
      <c r="F398" s="133">
        <v>6</v>
      </c>
      <c r="G398" s="133">
        <v>6</v>
      </c>
      <c r="H398" s="133">
        <v>3</v>
      </c>
      <c r="I398" s="133">
        <v>1.25</v>
      </c>
      <c r="J398" s="133">
        <v>18.12</v>
      </c>
      <c r="K398" s="133">
        <v>63</v>
      </c>
      <c r="L398" s="133">
        <v>7.8</v>
      </c>
      <c r="M398" s="163">
        <v>163.30000000000001</v>
      </c>
      <c r="N398" s="38">
        <f>IF(CNC!C$14&gt;=L398,A398)</f>
        <v>397</v>
      </c>
      <c r="O398" s="25" t="b">
        <f>IF(CNC!C$15=I398,A398)</f>
        <v>0</v>
      </c>
      <c r="P398" s="25" t="b">
        <f>IF(CNC!C$16&lt;=J398,A398)</f>
        <v>0</v>
      </c>
      <c r="Q398" s="25">
        <f>IF(D398=CNC!AR$10,A398)</f>
        <v>397</v>
      </c>
      <c r="R398" s="25" t="b">
        <f t="shared" si="16"/>
        <v>0</v>
      </c>
    </row>
    <row r="399" spans="1:18" ht="17" customHeight="1">
      <c r="A399" s="4">
        <v>398</v>
      </c>
      <c r="B399" s="162">
        <v>1</v>
      </c>
      <c r="C399" s="162">
        <v>1</v>
      </c>
      <c r="D399" s="162">
        <v>2</v>
      </c>
      <c r="E399" s="133" t="s">
        <v>2144</v>
      </c>
      <c r="F399" s="133">
        <v>6</v>
      </c>
      <c r="G399" s="133">
        <v>6</v>
      </c>
      <c r="H399" s="133">
        <v>3</v>
      </c>
      <c r="I399" s="133">
        <v>24</v>
      </c>
      <c r="J399" s="133">
        <v>17.46</v>
      </c>
      <c r="K399" s="133">
        <v>63</v>
      </c>
      <c r="L399" s="133">
        <v>7.7380000000000004</v>
      </c>
      <c r="M399" s="163">
        <v>179.5</v>
      </c>
      <c r="N399" s="38">
        <f>IF(CNC!C$14&gt;=L399,A399)</f>
        <v>398</v>
      </c>
      <c r="O399" s="25" t="b">
        <f>IF(CNC!C$15=I399,A399)</f>
        <v>0</v>
      </c>
      <c r="P399" s="25" t="b">
        <f>IF(CNC!C$16&lt;=J399,A399)</f>
        <v>0</v>
      </c>
      <c r="Q399" s="25" t="b">
        <f>IF(D399=CNC!AR$10,A399)</f>
        <v>0</v>
      </c>
      <c r="R399" s="25" t="b">
        <f t="shared" si="16"/>
        <v>0</v>
      </c>
    </row>
    <row r="400" spans="1:18" ht="17" customHeight="1">
      <c r="A400" s="4">
        <v>399</v>
      </c>
      <c r="B400" s="162">
        <v>1</v>
      </c>
      <c r="C400" s="162">
        <v>1</v>
      </c>
      <c r="D400" s="162">
        <v>2</v>
      </c>
      <c r="E400" s="133" t="s">
        <v>2145</v>
      </c>
      <c r="F400" s="133">
        <v>6</v>
      </c>
      <c r="G400" s="133">
        <v>6</v>
      </c>
      <c r="H400" s="133">
        <v>3</v>
      </c>
      <c r="I400" s="133">
        <v>16</v>
      </c>
      <c r="J400" s="133">
        <v>16.670000000000002</v>
      </c>
      <c r="K400" s="133">
        <v>63</v>
      </c>
      <c r="L400" s="133">
        <v>9.3249999999999993</v>
      </c>
      <c r="M400" s="163">
        <v>148.4</v>
      </c>
      <c r="N400" s="38">
        <f>IF(CNC!C$14&gt;=L400,A400)</f>
        <v>399</v>
      </c>
      <c r="O400" s="25" t="b">
        <f>IF(CNC!C$15=I400,A400)</f>
        <v>0</v>
      </c>
      <c r="P400" s="25" t="b">
        <f>IF(CNC!C$16&lt;=J400,A400)</f>
        <v>0</v>
      </c>
      <c r="Q400" s="25" t="b">
        <f>IF(D400=CNC!AR$10,A400)</f>
        <v>0</v>
      </c>
      <c r="R400" s="25" t="b">
        <f t="shared" si="16"/>
        <v>0</v>
      </c>
    </row>
    <row r="401" spans="1:18" ht="17" customHeight="1">
      <c r="A401" s="4">
        <v>400</v>
      </c>
      <c r="B401" s="162">
        <v>1</v>
      </c>
      <c r="C401" s="162">
        <v>1</v>
      </c>
      <c r="D401" s="162">
        <v>1</v>
      </c>
      <c r="E401" s="133" t="s">
        <v>2146</v>
      </c>
      <c r="F401" s="133">
        <v>6</v>
      </c>
      <c r="G401" s="133">
        <v>6</v>
      </c>
      <c r="H401" s="133">
        <v>3</v>
      </c>
      <c r="I401" s="133">
        <v>1.25</v>
      </c>
      <c r="J401" s="133">
        <v>14.37</v>
      </c>
      <c r="K401" s="133">
        <v>63</v>
      </c>
      <c r="L401" s="133">
        <v>7.8</v>
      </c>
      <c r="M401" s="163">
        <v>148.4</v>
      </c>
      <c r="N401" s="38">
        <f>IF(CNC!C$14&gt;=L401,A401)</f>
        <v>400</v>
      </c>
      <c r="O401" s="25" t="b">
        <f>IF(CNC!C$15=I401,A401)</f>
        <v>0</v>
      </c>
      <c r="P401" s="25" t="b">
        <f>IF(CNC!C$16&lt;=J401,A401)</f>
        <v>0</v>
      </c>
      <c r="Q401" s="25">
        <f>IF(D401=CNC!AR$10,A401)</f>
        <v>400</v>
      </c>
      <c r="R401" s="25" t="b">
        <f t="shared" si="16"/>
        <v>0</v>
      </c>
    </row>
    <row r="402" spans="1:18" ht="17" customHeight="1">
      <c r="A402" s="4">
        <v>401</v>
      </c>
      <c r="B402" s="162">
        <v>1</v>
      </c>
      <c r="C402" s="162">
        <v>1</v>
      </c>
      <c r="D402" s="162">
        <v>2</v>
      </c>
      <c r="E402" s="133" t="s">
        <v>2147</v>
      </c>
      <c r="F402" s="133">
        <v>6</v>
      </c>
      <c r="G402" s="133">
        <v>6</v>
      </c>
      <c r="H402" s="133">
        <v>3</v>
      </c>
      <c r="I402" s="133">
        <v>24</v>
      </c>
      <c r="J402" s="133">
        <v>13.23</v>
      </c>
      <c r="K402" s="133">
        <v>63</v>
      </c>
      <c r="L402" s="133">
        <v>7.7380000000000004</v>
      </c>
      <c r="M402" s="163">
        <v>163.30000000000001</v>
      </c>
      <c r="N402" s="38">
        <f>IF(CNC!C$14&gt;=L402,A402)</f>
        <v>401</v>
      </c>
      <c r="O402" s="25" t="b">
        <f>IF(CNC!C$15=I402,A402)</f>
        <v>0</v>
      </c>
      <c r="P402" s="25" t="b">
        <f>IF(CNC!C$16&lt;=J402,A402)</f>
        <v>0</v>
      </c>
      <c r="Q402" s="25" t="b">
        <f>IF(D402=CNC!AR$10,A402)</f>
        <v>0</v>
      </c>
      <c r="R402" s="25" t="b">
        <f t="shared" si="16"/>
        <v>0</v>
      </c>
    </row>
    <row r="403" spans="1:18" ht="17" customHeight="1">
      <c r="A403" s="4">
        <v>402</v>
      </c>
      <c r="B403" s="162">
        <v>1</v>
      </c>
      <c r="C403" s="162">
        <v>1</v>
      </c>
      <c r="D403" s="162">
        <v>1</v>
      </c>
      <c r="E403" s="133" t="s">
        <v>2148</v>
      </c>
      <c r="F403" s="133">
        <v>6</v>
      </c>
      <c r="G403" s="133">
        <v>6</v>
      </c>
      <c r="H403" s="133">
        <v>3</v>
      </c>
      <c r="I403" s="133">
        <v>1</v>
      </c>
      <c r="J403" s="133">
        <v>13.5</v>
      </c>
      <c r="K403" s="133">
        <v>63</v>
      </c>
      <c r="L403" s="133">
        <v>7.8</v>
      </c>
      <c r="M403" s="163">
        <v>163.30000000000001</v>
      </c>
      <c r="N403" s="38">
        <f>IF(CNC!C$14&gt;=L403,A403)</f>
        <v>402</v>
      </c>
      <c r="O403" s="25" t="b">
        <f>IF(CNC!C$15=I403,A403)</f>
        <v>0</v>
      </c>
      <c r="P403" s="25" t="b">
        <f>IF(CNC!C$16&lt;=J403,A403)</f>
        <v>0</v>
      </c>
      <c r="Q403" s="25">
        <f>IF(D403=CNC!AR$10,A403)</f>
        <v>402</v>
      </c>
      <c r="R403" s="25" t="b">
        <f t="shared" si="16"/>
        <v>0</v>
      </c>
    </row>
    <row r="404" spans="1:18" ht="17" customHeight="1">
      <c r="A404" s="4">
        <v>403</v>
      </c>
      <c r="B404" s="162">
        <v>1</v>
      </c>
      <c r="C404" s="162">
        <v>1</v>
      </c>
      <c r="D404" s="162">
        <v>1</v>
      </c>
      <c r="E404" s="133" t="s">
        <v>2149</v>
      </c>
      <c r="F404" s="133">
        <v>6</v>
      </c>
      <c r="G404" s="133">
        <v>6</v>
      </c>
      <c r="H404" s="133">
        <v>3</v>
      </c>
      <c r="I404" s="133">
        <v>1</v>
      </c>
      <c r="J404" s="133">
        <v>10.5</v>
      </c>
      <c r="K404" s="133">
        <v>63</v>
      </c>
      <c r="L404" s="133">
        <v>7.8</v>
      </c>
      <c r="M404" s="163">
        <v>148.4</v>
      </c>
      <c r="N404" s="38">
        <f>IF(CNC!C$14&gt;=L404,A404)</f>
        <v>403</v>
      </c>
      <c r="O404" s="25" t="b">
        <f>IF(CNC!C$15=I404,A404)</f>
        <v>0</v>
      </c>
      <c r="P404" s="25" t="b">
        <f>IF(CNC!C$16&lt;=J404,A404)</f>
        <v>0</v>
      </c>
      <c r="Q404" s="25">
        <f>IF(D404=CNC!AR$10,A404)</f>
        <v>403</v>
      </c>
      <c r="R404" s="25" t="b">
        <f t="shared" si="16"/>
        <v>0</v>
      </c>
    </row>
    <row r="405" spans="1:18" ht="17" customHeight="1">
      <c r="A405" s="4">
        <v>404</v>
      </c>
      <c r="B405" s="162">
        <v>1</v>
      </c>
      <c r="C405" s="162">
        <v>1</v>
      </c>
      <c r="D405" s="162">
        <v>2</v>
      </c>
      <c r="E405" s="133" t="s">
        <v>2150</v>
      </c>
      <c r="F405" s="133">
        <v>6</v>
      </c>
      <c r="G405" s="133">
        <v>5</v>
      </c>
      <c r="H405" s="133">
        <v>3</v>
      </c>
      <c r="I405" s="133">
        <v>28</v>
      </c>
      <c r="J405" s="133">
        <v>14.06</v>
      </c>
      <c r="K405" s="133">
        <v>63</v>
      </c>
      <c r="L405" s="133">
        <v>6.15</v>
      </c>
      <c r="M405" s="163">
        <v>179.5</v>
      </c>
      <c r="N405" s="38">
        <f>IF(CNC!C$14&gt;=L405,A405)</f>
        <v>404</v>
      </c>
      <c r="O405" s="25" t="b">
        <f>IF(CNC!C$15=I405,A405)</f>
        <v>0</v>
      </c>
      <c r="P405" s="25" t="b">
        <f>IF(CNC!C$16&lt;=J405,A405)</f>
        <v>0</v>
      </c>
      <c r="Q405" s="25" t="b">
        <f>IF(D405=CNC!AR$10,A405)</f>
        <v>0</v>
      </c>
      <c r="R405" s="25" t="b">
        <f t="shared" si="16"/>
        <v>0</v>
      </c>
    </row>
    <row r="406" spans="1:18" ht="17" customHeight="1">
      <c r="A406" s="4">
        <v>405</v>
      </c>
      <c r="B406" s="162">
        <v>1</v>
      </c>
      <c r="C406" s="162">
        <v>1</v>
      </c>
      <c r="D406" s="162">
        <v>2</v>
      </c>
      <c r="E406" s="133" t="s">
        <v>2151</v>
      </c>
      <c r="F406" s="133">
        <v>6</v>
      </c>
      <c r="G406" s="133">
        <v>5</v>
      </c>
      <c r="H406" s="133">
        <v>3</v>
      </c>
      <c r="I406" s="133">
        <v>28</v>
      </c>
      <c r="J406" s="133">
        <v>10.43</v>
      </c>
      <c r="K406" s="133">
        <v>63</v>
      </c>
      <c r="L406" s="133">
        <v>6.15</v>
      </c>
      <c r="M406" s="163">
        <v>163.30000000000001</v>
      </c>
      <c r="N406" s="38">
        <f>IF(CNC!C$14&gt;=L406,A406)</f>
        <v>405</v>
      </c>
      <c r="O406" s="25" t="b">
        <f>IF(CNC!C$15=I406,A406)</f>
        <v>0</v>
      </c>
      <c r="P406" s="25" t="b">
        <f>IF(CNC!C$16&lt;=J406,A406)</f>
        <v>0</v>
      </c>
      <c r="Q406" s="25" t="b">
        <f>IF(D406=CNC!AR$10,A406)</f>
        <v>0</v>
      </c>
      <c r="R406" s="25" t="b">
        <f t="shared" si="16"/>
        <v>0</v>
      </c>
    </row>
    <row r="407" spans="1:18" ht="17" customHeight="1">
      <c r="A407" s="4">
        <v>406</v>
      </c>
      <c r="B407" s="162">
        <v>1</v>
      </c>
      <c r="C407" s="162">
        <v>1</v>
      </c>
      <c r="D407" s="162">
        <v>2</v>
      </c>
      <c r="E407" s="133" t="s">
        <v>2152</v>
      </c>
      <c r="F407" s="133">
        <v>6</v>
      </c>
      <c r="G407" s="133">
        <v>5.8</v>
      </c>
      <c r="H407" s="133">
        <v>3</v>
      </c>
      <c r="I407" s="133">
        <v>18</v>
      </c>
      <c r="J407" s="133">
        <v>21.87</v>
      </c>
      <c r="K407" s="133">
        <v>63</v>
      </c>
      <c r="L407" s="133">
        <v>7.7380000000000004</v>
      </c>
      <c r="M407" s="163">
        <v>179.5</v>
      </c>
      <c r="N407" s="38">
        <f>IF(CNC!C$14&gt;=L407,A407)</f>
        <v>406</v>
      </c>
      <c r="O407" s="25" t="b">
        <f>IF(CNC!C$15=I407,A407)</f>
        <v>0</v>
      </c>
      <c r="P407" s="25">
        <f>IF(CNC!C$16&lt;=J407,A407)</f>
        <v>406</v>
      </c>
      <c r="Q407" s="25" t="b">
        <f>IF(D407=CNC!AR$10,A407)</f>
        <v>0</v>
      </c>
      <c r="R407" s="25" t="b">
        <f t="shared" si="16"/>
        <v>0</v>
      </c>
    </row>
    <row r="408" spans="1:18" ht="17" customHeight="1">
      <c r="A408" s="4">
        <v>407</v>
      </c>
      <c r="B408" s="162">
        <v>1</v>
      </c>
      <c r="C408" s="162">
        <v>1</v>
      </c>
      <c r="D408" s="162">
        <v>2</v>
      </c>
      <c r="E408" s="133" t="s">
        <v>2153</v>
      </c>
      <c r="F408" s="133">
        <v>6</v>
      </c>
      <c r="G408" s="133">
        <v>5.8</v>
      </c>
      <c r="H408" s="133">
        <v>3</v>
      </c>
      <c r="I408" s="133">
        <v>18</v>
      </c>
      <c r="J408" s="133">
        <v>17.64</v>
      </c>
      <c r="K408" s="133">
        <v>63</v>
      </c>
      <c r="L408" s="133">
        <v>7.7380000000000004</v>
      </c>
      <c r="M408" s="163">
        <v>163.30000000000001</v>
      </c>
      <c r="N408" s="38">
        <f>IF(CNC!C$14&gt;=L408,A408)</f>
        <v>407</v>
      </c>
      <c r="O408" s="25" t="b">
        <f>IF(CNC!C$15=I408,A408)</f>
        <v>0</v>
      </c>
      <c r="P408" s="25" t="b">
        <f>IF(CNC!C$16&lt;=J408,A408)</f>
        <v>0</v>
      </c>
      <c r="Q408" s="25" t="b">
        <f>IF(D408=CNC!AR$10,A408)</f>
        <v>0</v>
      </c>
      <c r="R408" s="25" t="b">
        <f t="shared" si="16"/>
        <v>0</v>
      </c>
    </row>
    <row r="409" spans="1:18" ht="17" customHeight="1">
      <c r="A409" s="4">
        <v>408</v>
      </c>
      <c r="B409" s="162">
        <v>1</v>
      </c>
      <c r="C409" s="162">
        <v>1</v>
      </c>
      <c r="D409" s="162">
        <v>2</v>
      </c>
      <c r="E409" s="133" t="s">
        <v>2154</v>
      </c>
      <c r="F409" s="133">
        <v>6</v>
      </c>
      <c r="G409" s="133">
        <v>5.8</v>
      </c>
      <c r="H409" s="133">
        <v>3</v>
      </c>
      <c r="I409" s="133">
        <v>18</v>
      </c>
      <c r="J409" s="133">
        <v>13.41</v>
      </c>
      <c r="K409" s="133">
        <v>63</v>
      </c>
      <c r="L409" s="133">
        <v>7.7380000000000004</v>
      </c>
      <c r="M409" s="163">
        <v>148.4</v>
      </c>
      <c r="N409" s="38">
        <f>IF(CNC!C$14&gt;=L409,A409)</f>
        <v>408</v>
      </c>
      <c r="O409" s="25" t="b">
        <f>IF(CNC!C$15=I409,A409)</f>
        <v>0</v>
      </c>
      <c r="P409" s="25" t="b">
        <f>IF(CNC!C$16&lt;=J409,A409)</f>
        <v>0</v>
      </c>
      <c r="Q409" s="25" t="b">
        <f>IF(D409=CNC!AR$10,A409)</f>
        <v>0</v>
      </c>
      <c r="R409" s="25" t="b">
        <f t="shared" si="16"/>
        <v>0</v>
      </c>
    </row>
    <row r="410" spans="1:18" ht="17" customHeight="1">
      <c r="A410" s="4">
        <v>409</v>
      </c>
      <c r="B410" s="162">
        <v>1</v>
      </c>
      <c r="C410" s="162">
        <v>1</v>
      </c>
      <c r="D410" s="162">
        <v>1</v>
      </c>
      <c r="E410" s="133" t="s">
        <v>2155</v>
      </c>
      <c r="F410" s="133">
        <v>6</v>
      </c>
      <c r="G410" s="133">
        <v>4.5</v>
      </c>
      <c r="H410" s="133">
        <v>3</v>
      </c>
      <c r="I410" s="133">
        <v>1</v>
      </c>
      <c r="J410" s="133">
        <v>19.5</v>
      </c>
      <c r="K410" s="133">
        <v>63</v>
      </c>
      <c r="L410" s="133">
        <v>5.8</v>
      </c>
      <c r="M410" s="163">
        <v>197.5</v>
      </c>
      <c r="N410" s="38">
        <f>IF(CNC!C$14&gt;=L410,A410)</f>
        <v>409</v>
      </c>
      <c r="O410" s="25" t="b">
        <f>IF(CNC!C$15=I410,A410)</f>
        <v>0</v>
      </c>
      <c r="P410" s="25" t="b">
        <f>IF(CNC!C$16&lt;=J410,A410)</f>
        <v>0</v>
      </c>
      <c r="Q410" s="25">
        <f>IF(D410=CNC!AR$10,A410)</f>
        <v>409</v>
      </c>
      <c r="R410" s="25" t="b">
        <f t="shared" si="16"/>
        <v>0</v>
      </c>
    </row>
    <row r="411" spans="1:18" ht="17" customHeight="1">
      <c r="A411" s="4">
        <v>410</v>
      </c>
      <c r="B411" s="162">
        <v>1</v>
      </c>
      <c r="C411" s="162">
        <v>1</v>
      </c>
      <c r="D411" s="162">
        <v>2</v>
      </c>
      <c r="E411" s="133" t="s">
        <v>2156</v>
      </c>
      <c r="F411" s="133">
        <v>6</v>
      </c>
      <c r="G411" s="133">
        <v>4.5</v>
      </c>
      <c r="H411" s="133">
        <v>3</v>
      </c>
      <c r="I411" s="133">
        <v>20</v>
      </c>
      <c r="J411" s="133">
        <v>17.149999999999999</v>
      </c>
      <c r="K411" s="133">
        <v>63</v>
      </c>
      <c r="L411" s="133">
        <v>6.15</v>
      </c>
      <c r="M411" s="163">
        <v>179.5</v>
      </c>
      <c r="N411" s="38">
        <f>IF(CNC!C$14&gt;=L411,A411)</f>
        <v>410</v>
      </c>
      <c r="O411" s="25" t="b">
        <f>IF(CNC!C$15=I411,A411)</f>
        <v>0</v>
      </c>
      <c r="P411" s="25" t="b">
        <f>IF(CNC!C$16&lt;=J411,A411)</f>
        <v>0</v>
      </c>
      <c r="Q411" s="25" t="b">
        <f>IF(D411=CNC!AR$10,A411)</f>
        <v>0</v>
      </c>
      <c r="R411" s="25" t="b">
        <f t="shared" si="16"/>
        <v>0</v>
      </c>
    </row>
    <row r="412" spans="1:18" ht="17" customHeight="1">
      <c r="A412" s="4">
        <v>411</v>
      </c>
      <c r="B412" s="162">
        <v>1</v>
      </c>
      <c r="C412" s="162">
        <v>1</v>
      </c>
      <c r="D412" s="162">
        <v>1</v>
      </c>
      <c r="E412" s="133" t="s">
        <v>2157</v>
      </c>
      <c r="F412" s="133">
        <v>6</v>
      </c>
      <c r="G412" s="133">
        <v>4.5</v>
      </c>
      <c r="H412" s="133">
        <v>3</v>
      </c>
      <c r="I412" s="133">
        <v>1</v>
      </c>
      <c r="J412" s="133">
        <v>16.5</v>
      </c>
      <c r="K412" s="133">
        <v>63</v>
      </c>
      <c r="L412" s="133">
        <v>5.8</v>
      </c>
      <c r="M412" s="163">
        <v>179.5</v>
      </c>
      <c r="N412" s="38">
        <f>IF(CNC!C$14&gt;=L412,A412)</f>
        <v>411</v>
      </c>
      <c r="O412" s="25" t="b">
        <f>IF(CNC!C$15=I412,A412)</f>
        <v>0</v>
      </c>
      <c r="P412" s="25" t="b">
        <f>IF(CNC!C$16&lt;=J412,A412)</f>
        <v>0</v>
      </c>
      <c r="Q412" s="25">
        <f>IF(D412=CNC!AR$10,A412)</f>
        <v>411</v>
      </c>
      <c r="R412" s="25" t="b">
        <f t="shared" si="16"/>
        <v>0</v>
      </c>
    </row>
    <row r="413" spans="1:18" ht="17" customHeight="1">
      <c r="A413" s="4">
        <v>412</v>
      </c>
      <c r="B413" s="162">
        <v>1</v>
      </c>
      <c r="C413" s="162">
        <v>1</v>
      </c>
      <c r="D413" s="162">
        <v>1</v>
      </c>
      <c r="E413" s="133" t="s">
        <v>2158</v>
      </c>
      <c r="F413" s="133">
        <v>6</v>
      </c>
      <c r="G413" s="133">
        <v>4.5</v>
      </c>
      <c r="H413" s="133">
        <v>3</v>
      </c>
      <c r="I413" s="133">
        <v>0.75</v>
      </c>
      <c r="J413" s="133">
        <v>16.87</v>
      </c>
      <c r="K413" s="133">
        <v>63</v>
      </c>
      <c r="L413" s="133">
        <v>5.8</v>
      </c>
      <c r="M413" s="163">
        <v>163.30000000000001</v>
      </c>
      <c r="N413" s="38">
        <f>IF(CNC!C$14&gt;=L413,A413)</f>
        <v>412</v>
      </c>
      <c r="O413" s="25" t="b">
        <f>IF(CNC!C$15=I413,A413)</f>
        <v>0</v>
      </c>
      <c r="P413" s="25" t="b">
        <f>IF(CNC!C$16&lt;=J413,A413)</f>
        <v>0</v>
      </c>
      <c r="Q413" s="25">
        <f>IF(D413=CNC!AR$10,A413)</f>
        <v>412</v>
      </c>
      <c r="R413" s="25" t="b">
        <f t="shared" si="16"/>
        <v>0</v>
      </c>
    </row>
    <row r="414" spans="1:18" ht="17" customHeight="1">
      <c r="A414" s="4">
        <v>413</v>
      </c>
      <c r="B414" s="162">
        <v>1</v>
      </c>
      <c r="C414" s="162">
        <v>1</v>
      </c>
      <c r="D414" s="162">
        <v>2</v>
      </c>
      <c r="E414" s="133" t="s">
        <v>2159</v>
      </c>
      <c r="F414" s="133">
        <v>6</v>
      </c>
      <c r="G414" s="133">
        <v>4.5</v>
      </c>
      <c r="H414" s="133">
        <v>3</v>
      </c>
      <c r="I414" s="133">
        <v>20</v>
      </c>
      <c r="J414" s="133">
        <v>14.6</v>
      </c>
      <c r="K414" s="133">
        <v>63</v>
      </c>
      <c r="L414" s="133">
        <v>6.15</v>
      </c>
      <c r="M414" s="163">
        <v>163.30000000000001</v>
      </c>
      <c r="N414" s="38">
        <f>IF(CNC!C$14&gt;=L414,A414)</f>
        <v>413</v>
      </c>
      <c r="O414" s="25" t="b">
        <f>IF(CNC!C$15=I414,A414)</f>
        <v>0</v>
      </c>
      <c r="P414" s="25" t="b">
        <f>IF(CNC!C$16&lt;=J414,A414)</f>
        <v>0</v>
      </c>
      <c r="Q414" s="25" t="b">
        <f>IF(D414=CNC!AR$10,A414)</f>
        <v>0</v>
      </c>
      <c r="R414" s="25" t="b">
        <f t="shared" si="16"/>
        <v>0</v>
      </c>
    </row>
    <row r="415" spans="1:18" ht="17" customHeight="1">
      <c r="A415" s="4">
        <v>414</v>
      </c>
      <c r="B415" s="162">
        <v>1</v>
      </c>
      <c r="C415" s="162">
        <v>1</v>
      </c>
      <c r="D415" s="162">
        <v>1</v>
      </c>
      <c r="E415" s="133" t="s">
        <v>2160</v>
      </c>
      <c r="F415" s="133">
        <v>6</v>
      </c>
      <c r="G415" s="133">
        <v>4.5</v>
      </c>
      <c r="H415" s="133">
        <v>3</v>
      </c>
      <c r="I415" s="133">
        <v>1</v>
      </c>
      <c r="J415" s="133">
        <v>13.5</v>
      </c>
      <c r="K415" s="133">
        <v>63</v>
      </c>
      <c r="L415" s="133">
        <v>5.8</v>
      </c>
      <c r="M415" s="163">
        <v>163.30000000000001</v>
      </c>
      <c r="N415" s="38">
        <f>IF(CNC!C$14&gt;=L415,A415)</f>
        <v>414</v>
      </c>
      <c r="O415" s="25" t="b">
        <f>IF(CNC!C$15=I415,A415)</f>
        <v>0</v>
      </c>
      <c r="P415" s="25" t="b">
        <f>IF(CNC!C$16&lt;=J415,A415)</f>
        <v>0</v>
      </c>
      <c r="Q415" s="25">
        <f>IF(D415=CNC!AR$10,A415)</f>
        <v>414</v>
      </c>
      <c r="R415" s="25" t="b">
        <f t="shared" si="16"/>
        <v>0</v>
      </c>
    </row>
    <row r="416" spans="1:18" ht="17" customHeight="1">
      <c r="A416" s="4">
        <v>415</v>
      </c>
      <c r="B416" s="162">
        <v>1</v>
      </c>
      <c r="C416" s="162">
        <v>1</v>
      </c>
      <c r="D416" s="162">
        <v>2</v>
      </c>
      <c r="E416" s="133" t="s">
        <v>2161</v>
      </c>
      <c r="F416" s="133">
        <v>6</v>
      </c>
      <c r="G416" s="133">
        <v>4.5</v>
      </c>
      <c r="H416" s="133">
        <v>3</v>
      </c>
      <c r="I416" s="133">
        <v>20</v>
      </c>
      <c r="J416" s="133">
        <v>10.8</v>
      </c>
      <c r="K416" s="133">
        <v>63</v>
      </c>
      <c r="L416" s="133">
        <v>6.15</v>
      </c>
      <c r="M416" s="163">
        <v>148.4</v>
      </c>
      <c r="N416" s="38">
        <f>IF(CNC!C$14&gt;=L416,A416)</f>
        <v>415</v>
      </c>
      <c r="O416" s="25" t="b">
        <f>IF(CNC!C$15=I416,A416)</f>
        <v>0</v>
      </c>
      <c r="P416" s="25" t="b">
        <f>IF(CNC!C$16&lt;=J416,A416)</f>
        <v>0</v>
      </c>
      <c r="Q416" s="25" t="b">
        <f>IF(D416=CNC!AR$10,A416)</f>
        <v>0</v>
      </c>
      <c r="R416" s="25" t="b">
        <f t="shared" si="16"/>
        <v>0</v>
      </c>
    </row>
    <row r="417" spans="1:18" ht="17" customHeight="1">
      <c r="A417" s="4">
        <v>416</v>
      </c>
      <c r="B417" s="162">
        <v>1</v>
      </c>
      <c r="C417" s="162">
        <v>1</v>
      </c>
      <c r="D417" s="162">
        <v>1</v>
      </c>
      <c r="E417" s="133" t="s">
        <v>2162</v>
      </c>
      <c r="F417" s="133">
        <v>6</v>
      </c>
      <c r="G417" s="133">
        <v>4.5</v>
      </c>
      <c r="H417" s="133">
        <v>3</v>
      </c>
      <c r="I417" s="133">
        <v>1</v>
      </c>
      <c r="J417" s="133">
        <v>10.5</v>
      </c>
      <c r="K417" s="133">
        <v>63</v>
      </c>
      <c r="L417" s="133">
        <v>5.8</v>
      </c>
      <c r="M417" s="163">
        <v>148.4</v>
      </c>
      <c r="N417" s="38">
        <f>IF(CNC!C$14&gt;=L417,A417)</f>
        <v>416</v>
      </c>
      <c r="O417" s="25" t="b">
        <f>IF(CNC!C$15=I417,A417)</f>
        <v>0</v>
      </c>
      <c r="P417" s="25" t="b">
        <f>IF(CNC!C$16&lt;=J417,A417)</f>
        <v>0</v>
      </c>
      <c r="Q417" s="25">
        <f>IF(D417=CNC!AR$10,A417)</f>
        <v>416</v>
      </c>
      <c r="R417" s="25" t="b">
        <f t="shared" si="16"/>
        <v>0</v>
      </c>
    </row>
    <row r="418" spans="1:18" ht="17" customHeight="1">
      <c r="A418" s="4">
        <v>417</v>
      </c>
      <c r="B418" s="162">
        <v>1</v>
      </c>
      <c r="C418" s="162">
        <v>1</v>
      </c>
      <c r="D418" s="162">
        <v>1</v>
      </c>
      <c r="E418" s="133" t="s">
        <v>2163</v>
      </c>
      <c r="F418" s="133">
        <v>6</v>
      </c>
      <c r="G418" s="133">
        <v>4.5</v>
      </c>
      <c r="H418" s="133">
        <v>3</v>
      </c>
      <c r="I418" s="133">
        <v>0.75</v>
      </c>
      <c r="J418" s="133">
        <v>10.87</v>
      </c>
      <c r="K418" s="133">
        <v>63</v>
      </c>
      <c r="L418" s="133">
        <v>5.8</v>
      </c>
      <c r="M418" s="163">
        <v>148.4</v>
      </c>
      <c r="N418" s="38">
        <f>IF(CNC!C$14&gt;=L418,A418)</f>
        <v>417</v>
      </c>
      <c r="O418" s="25" t="b">
        <f>IF(CNC!C$15=I418,A418)</f>
        <v>0</v>
      </c>
      <c r="P418" s="25" t="b">
        <f>IF(CNC!C$16&lt;=J418,A418)</f>
        <v>0</v>
      </c>
      <c r="Q418" s="25">
        <f>IF(D418=CNC!AR$10,A418)</f>
        <v>417</v>
      </c>
      <c r="R418" s="25" t="b">
        <f t="shared" si="16"/>
        <v>0</v>
      </c>
    </row>
    <row r="419" spans="1:18" ht="17" customHeight="1">
      <c r="A419" s="4">
        <v>418</v>
      </c>
      <c r="B419" s="162">
        <v>1</v>
      </c>
      <c r="C419" s="162">
        <v>1</v>
      </c>
      <c r="D419" s="162">
        <v>1</v>
      </c>
      <c r="E419" s="133" t="s">
        <v>2164</v>
      </c>
      <c r="F419" s="133">
        <v>6</v>
      </c>
      <c r="G419" s="133">
        <v>3</v>
      </c>
      <c r="H419" s="133">
        <v>3</v>
      </c>
      <c r="I419" s="133">
        <v>0.7</v>
      </c>
      <c r="J419" s="133">
        <v>8.75</v>
      </c>
      <c r="K419" s="133">
        <v>63</v>
      </c>
      <c r="L419" s="133">
        <v>3.8</v>
      </c>
      <c r="M419" s="163">
        <v>163.30000000000001</v>
      </c>
      <c r="N419" s="38">
        <f>IF(CNC!C$14&gt;=L419,A419)</f>
        <v>418</v>
      </c>
      <c r="O419" s="25" t="b">
        <f>IF(CNC!C$15=I419,A419)</f>
        <v>0</v>
      </c>
      <c r="P419" s="25" t="b">
        <f>IF(CNC!C$16&lt;=J419,A419)</f>
        <v>0</v>
      </c>
      <c r="Q419" s="25">
        <f>IF(D419=CNC!AR$10,A419)</f>
        <v>418</v>
      </c>
      <c r="R419" s="25" t="b">
        <f t="shared" si="16"/>
        <v>0</v>
      </c>
    </row>
    <row r="420" spans="1:18" ht="17" customHeight="1">
      <c r="A420" s="4">
        <v>419</v>
      </c>
      <c r="B420" s="162">
        <v>1</v>
      </c>
      <c r="C420" s="162">
        <v>1</v>
      </c>
      <c r="D420" s="162">
        <v>1</v>
      </c>
      <c r="E420" s="133" t="s">
        <v>2165</v>
      </c>
      <c r="F420" s="133">
        <v>6</v>
      </c>
      <c r="G420" s="133">
        <v>3</v>
      </c>
      <c r="H420" s="133">
        <v>3</v>
      </c>
      <c r="I420" s="133">
        <v>0.7</v>
      </c>
      <c r="J420" s="133">
        <v>7.35</v>
      </c>
      <c r="K420" s="133">
        <v>63</v>
      </c>
      <c r="L420" s="133">
        <v>3.8</v>
      </c>
      <c r="M420" s="163">
        <v>148.4</v>
      </c>
      <c r="N420" s="38">
        <f>IF(CNC!C$14&gt;=L420,A420)</f>
        <v>419</v>
      </c>
      <c r="O420" s="25" t="b">
        <f>IF(CNC!C$15=I420,A420)</f>
        <v>0</v>
      </c>
      <c r="P420" s="25" t="b">
        <f>IF(CNC!C$16&lt;=J420,A420)</f>
        <v>0</v>
      </c>
      <c r="Q420" s="25">
        <f>IF(D420=CNC!AR$10,A420)</f>
        <v>419</v>
      </c>
      <c r="R420" s="25" t="b">
        <f t="shared" si="16"/>
        <v>0</v>
      </c>
    </row>
    <row r="421" spans="1:18" ht="17" customHeight="1">
      <c r="A421" s="4">
        <v>420</v>
      </c>
      <c r="B421" s="162">
        <v>1</v>
      </c>
      <c r="C421" s="162">
        <v>1</v>
      </c>
      <c r="D421" s="162">
        <v>1</v>
      </c>
      <c r="E421" s="133" t="s">
        <v>2166</v>
      </c>
      <c r="F421" s="133">
        <v>6</v>
      </c>
      <c r="G421" s="133">
        <v>3</v>
      </c>
      <c r="H421" s="133">
        <v>3</v>
      </c>
      <c r="I421" s="133">
        <v>0.7</v>
      </c>
      <c r="J421" s="133">
        <v>10.85</v>
      </c>
      <c r="K421" s="133">
        <v>63</v>
      </c>
      <c r="L421" s="133">
        <v>3.8</v>
      </c>
      <c r="M421" s="163">
        <v>179.5</v>
      </c>
      <c r="N421" s="38">
        <f>IF(CNC!C$14&gt;=L421,A421)</f>
        <v>420</v>
      </c>
      <c r="O421" s="25" t="b">
        <f>IF(CNC!C$15=I421,A421)</f>
        <v>0</v>
      </c>
      <c r="P421" s="25" t="b">
        <f>IF(CNC!C$16&lt;=J421,A421)</f>
        <v>0</v>
      </c>
      <c r="Q421" s="25">
        <f>IF(D421=CNC!AR$10,A421)</f>
        <v>420</v>
      </c>
      <c r="R421" s="25" t="b">
        <f t="shared" si="16"/>
        <v>0</v>
      </c>
    </row>
    <row r="422" spans="1:18" ht="17" customHeight="1">
      <c r="A422" s="4">
        <v>421</v>
      </c>
      <c r="B422" s="162">
        <v>1</v>
      </c>
      <c r="C422" s="162">
        <v>1</v>
      </c>
      <c r="D422" s="162">
        <v>1</v>
      </c>
      <c r="E422" s="133" t="s">
        <v>2167</v>
      </c>
      <c r="F422" s="133">
        <v>6</v>
      </c>
      <c r="G422" s="133">
        <v>3.8</v>
      </c>
      <c r="H422" s="133">
        <v>3</v>
      </c>
      <c r="I422" s="133">
        <v>0.8</v>
      </c>
      <c r="J422" s="133">
        <v>8.4</v>
      </c>
      <c r="K422" s="133">
        <v>63</v>
      </c>
      <c r="L422" s="133">
        <v>4.8</v>
      </c>
      <c r="M422" s="163">
        <v>148.4</v>
      </c>
      <c r="N422" s="38">
        <f>IF(CNC!C$14&gt;=L422,A422)</f>
        <v>421</v>
      </c>
      <c r="O422" s="25" t="b">
        <f>IF(CNC!C$15=I422,A422)</f>
        <v>0</v>
      </c>
      <c r="P422" s="25" t="b">
        <f>IF(CNC!C$16&lt;=J422,A422)</f>
        <v>0</v>
      </c>
      <c r="Q422" s="25">
        <f>IF(D422=CNC!AR$10,A422)</f>
        <v>421</v>
      </c>
      <c r="R422" s="25" t="b">
        <f t="shared" si="16"/>
        <v>0</v>
      </c>
    </row>
    <row r="423" spans="1:18" ht="17" customHeight="1">
      <c r="A423" s="4">
        <v>422</v>
      </c>
      <c r="B423" s="162">
        <v>1</v>
      </c>
      <c r="C423" s="162">
        <v>1</v>
      </c>
      <c r="D423" s="162">
        <v>1</v>
      </c>
      <c r="E423" s="133" t="s">
        <v>2168</v>
      </c>
      <c r="F423" s="133">
        <v>6</v>
      </c>
      <c r="G423" s="133">
        <v>3.8</v>
      </c>
      <c r="H423" s="133">
        <v>3</v>
      </c>
      <c r="I423" s="133">
        <v>0.8</v>
      </c>
      <c r="J423" s="133">
        <v>13.2</v>
      </c>
      <c r="K423" s="133">
        <v>63</v>
      </c>
      <c r="L423" s="133">
        <v>4.8</v>
      </c>
      <c r="M423" s="163">
        <v>179.5</v>
      </c>
      <c r="N423" s="38">
        <f>IF(CNC!C$14&gt;=L423,A423)</f>
        <v>422</v>
      </c>
      <c r="O423" s="25" t="b">
        <f>IF(CNC!C$15=I423,A423)</f>
        <v>0</v>
      </c>
      <c r="P423" s="25" t="b">
        <f>IF(CNC!C$16&lt;=J423,A423)</f>
        <v>0</v>
      </c>
      <c r="Q423" s="25">
        <f>IF(D423=CNC!AR$10,A423)</f>
        <v>422</v>
      </c>
      <c r="R423" s="25" t="b">
        <f t="shared" si="16"/>
        <v>0</v>
      </c>
    </row>
    <row r="424" spans="1:18" ht="17" customHeight="1">
      <c r="A424" s="4">
        <v>423</v>
      </c>
      <c r="B424" s="162">
        <v>1</v>
      </c>
      <c r="C424" s="162">
        <v>1</v>
      </c>
      <c r="D424" s="162">
        <v>1</v>
      </c>
      <c r="E424" s="133" t="s">
        <v>2169</v>
      </c>
      <c r="F424" s="133">
        <v>6</v>
      </c>
      <c r="G424" s="133">
        <v>3.8</v>
      </c>
      <c r="H424" s="133">
        <v>3</v>
      </c>
      <c r="I424" s="133">
        <v>0.8</v>
      </c>
      <c r="J424" s="133">
        <v>10.8</v>
      </c>
      <c r="K424" s="133">
        <v>63</v>
      </c>
      <c r="L424" s="133">
        <v>4.8</v>
      </c>
      <c r="M424" s="163">
        <v>163.30000000000001</v>
      </c>
      <c r="N424" s="38">
        <f>IF(CNC!C$14&gt;=L424,A424)</f>
        <v>423</v>
      </c>
      <c r="O424" s="25" t="b">
        <f>IF(CNC!C$15=I424,A424)</f>
        <v>0</v>
      </c>
      <c r="P424" s="25" t="b">
        <f>IF(CNC!C$16&lt;=J424,A424)</f>
        <v>0</v>
      </c>
      <c r="Q424" s="25">
        <f>IF(D424=CNC!AR$10,A424)</f>
        <v>423</v>
      </c>
      <c r="R424" s="25" t="b">
        <f t="shared" si="16"/>
        <v>0</v>
      </c>
    </row>
    <row r="425" spans="1:18" ht="17" customHeight="1">
      <c r="A425" s="4">
        <v>424</v>
      </c>
      <c r="B425" s="162">
        <v>1</v>
      </c>
      <c r="C425" s="162">
        <v>1</v>
      </c>
      <c r="D425" s="162">
        <v>1</v>
      </c>
      <c r="E425" s="133" t="s">
        <v>2170</v>
      </c>
      <c r="F425" s="133">
        <v>6</v>
      </c>
      <c r="G425" s="133">
        <v>3.8</v>
      </c>
      <c r="H425" s="133">
        <v>3</v>
      </c>
      <c r="I425" s="133">
        <v>0.5</v>
      </c>
      <c r="J425" s="133">
        <v>10.75</v>
      </c>
      <c r="K425" s="133">
        <v>63</v>
      </c>
      <c r="L425" s="133">
        <v>4.8</v>
      </c>
      <c r="M425" s="163">
        <v>163.30000000000001</v>
      </c>
      <c r="N425" s="38">
        <f>IF(CNC!C$14&gt;=L425,A425)</f>
        <v>424</v>
      </c>
      <c r="O425" s="25" t="b">
        <f>IF(CNC!C$15=I425,A425)</f>
        <v>0</v>
      </c>
      <c r="P425" s="25" t="b">
        <f>IF(CNC!C$16&lt;=J425,A425)</f>
        <v>0</v>
      </c>
      <c r="Q425" s="25">
        <f>IF(D425=CNC!AR$10,A425)</f>
        <v>424</v>
      </c>
      <c r="R425" s="25" t="b">
        <f t="shared" si="16"/>
        <v>0</v>
      </c>
    </row>
    <row r="426" spans="1:18" ht="17" customHeight="1">
      <c r="A426" s="4">
        <v>425</v>
      </c>
      <c r="B426" s="162">
        <v>1</v>
      </c>
      <c r="C426" s="162">
        <v>1</v>
      </c>
      <c r="D426" s="162">
        <v>1</v>
      </c>
      <c r="E426" s="133" t="s">
        <v>2171</v>
      </c>
      <c r="F426" s="133">
        <v>6</v>
      </c>
      <c r="G426" s="133">
        <v>2.2999999999999998</v>
      </c>
      <c r="H426" s="133">
        <v>3</v>
      </c>
      <c r="I426" s="133">
        <v>0.5</v>
      </c>
      <c r="J426" s="133">
        <v>8.25</v>
      </c>
      <c r="K426" s="133">
        <v>63</v>
      </c>
      <c r="L426" s="133">
        <v>2.8</v>
      </c>
      <c r="M426" s="163">
        <v>179.5</v>
      </c>
      <c r="N426" s="38">
        <f>IF(CNC!C$14&gt;=L426,A426)</f>
        <v>425</v>
      </c>
      <c r="O426" s="25" t="b">
        <f>IF(CNC!C$15=I426,A426)</f>
        <v>0</v>
      </c>
      <c r="P426" s="25" t="b">
        <f>IF(CNC!C$16&lt;=J426,A426)</f>
        <v>0</v>
      </c>
      <c r="Q426" s="25">
        <f>IF(D426=CNC!AR$10,A426)</f>
        <v>425</v>
      </c>
      <c r="R426" s="25" t="b">
        <f t="shared" si="16"/>
        <v>0</v>
      </c>
    </row>
    <row r="427" spans="1:18" ht="17" customHeight="1">
      <c r="A427" s="4">
        <v>426</v>
      </c>
      <c r="B427" s="162">
        <v>1</v>
      </c>
      <c r="C427" s="162">
        <v>1</v>
      </c>
      <c r="D427" s="162">
        <v>1</v>
      </c>
      <c r="E427" s="133" t="s">
        <v>2172</v>
      </c>
      <c r="F427" s="133">
        <v>6</v>
      </c>
      <c r="G427" s="133">
        <v>2.2999999999999998</v>
      </c>
      <c r="H427" s="133">
        <v>3</v>
      </c>
      <c r="I427" s="133">
        <v>0.5</v>
      </c>
      <c r="J427" s="133">
        <v>6.75</v>
      </c>
      <c r="K427" s="133">
        <v>63</v>
      </c>
      <c r="L427" s="133">
        <v>2.8</v>
      </c>
      <c r="M427" s="163">
        <v>163.30000000000001</v>
      </c>
      <c r="N427" s="38">
        <f>IF(CNC!C$14&gt;=L427,A427)</f>
        <v>426</v>
      </c>
      <c r="O427" s="25" t="b">
        <f>IF(CNC!C$15=I427,A427)</f>
        <v>0</v>
      </c>
      <c r="P427" s="25" t="b">
        <f>IF(CNC!C$16&lt;=J427,A427)</f>
        <v>0</v>
      </c>
      <c r="Q427" s="25">
        <f>IF(D427=CNC!AR$10,A427)</f>
        <v>426</v>
      </c>
      <c r="R427" s="25" t="b">
        <f t="shared" si="16"/>
        <v>0</v>
      </c>
    </row>
    <row r="428" spans="1:18" ht="17" customHeight="1">
      <c r="A428" s="4">
        <v>427</v>
      </c>
      <c r="B428" s="162">
        <v>1</v>
      </c>
      <c r="C428" s="162">
        <v>1</v>
      </c>
      <c r="D428" s="162">
        <v>1</v>
      </c>
      <c r="E428" s="133" t="s">
        <v>2173</v>
      </c>
      <c r="F428" s="133">
        <v>6</v>
      </c>
      <c r="G428" s="133">
        <v>2.2999999999999998</v>
      </c>
      <c r="H428" s="133">
        <v>3</v>
      </c>
      <c r="I428" s="133">
        <v>0.5</v>
      </c>
      <c r="J428" s="133">
        <v>5.25</v>
      </c>
      <c r="K428" s="133">
        <v>63</v>
      </c>
      <c r="L428" s="133">
        <v>2.8</v>
      </c>
      <c r="M428" s="163">
        <v>148.4</v>
      </c>
      <c r="N428" s="38">
        <f>IF(CNC!C$14&gt;=L428,A428)</f>
        <v>427</v>
      </c>
      <c r="O428" s="25" t="b">
        <f>IF(CNC!C$15=I428,A428)</f>
        <v>0</v>
      </c>
      <c r="P428" s="25" t="b">
        <f>IF(CNC!C$16&lt;=J428,A428)</f>
        <v>0</v>
      </c>
      <c r="Q428" s="25">
        <f>IF(D428=CNC!AR$10,A428)</f>
        <v>427</v>
      </c>
      <c r="R428" s="25" t="b">
        <f t="shared" si="16"/>
        <v>0</v>
      </c>
    </row>
    <row r="429" spans="1:18" ht="17" customHeight="1">
      <c r="A429" s="4">
        <v>428</v>
      </c>
      <c r="B429" s="162">
        <v>1</v>
      </c>
      <c r="C429" s="162">
        <v>1</v>
      </c>
      <c r="D429" s="162">
        <v>2</v>
      </c>
      <c r="E429" s="133" t="s">
        <v>2174</v>
      </c>
      <c r="F429" s="133">
        <v>4</v>
      </c>
      <c r="G429" s="133">
        <v>4</v>
      </c>
      <c r="H429" s="133">
        <v>3</v>
      </c>
      <c r="I429" s="133">
        <v>28</v>
      </c>
      <c r="J429" s="133">
        <v>9.52</v>
      </c>
      <c r="K429" s="133">
        <v>50</v>
      </c>
      <c r="L429" s="133">
        <v>5.2859999999999996</v>
      </c>
      <c r="M429" s="163">
        <v>140.5</v>
      </c>
      <c r="N429" s="38">
        <f>IF(CNC!C$14&gt;=L429,A429)</f>
        <v>428</v>
      </c>
      <c r="O429" s="25" t="b">
        <f>IF(CNC!C$15=I429,A429)</f>
        <v>0</v>
      </c>
      <c r="P429" s="25" t="b">
        <f>IF(CNC!C$16&lt;=J429,A429)</f>
        <v>0</v>
      </c>
      <c r="Q429" s="25" t="b">
        <f>IF(D429=CNC!AR$10,A429)</f>
        <v>0</v>
      </c>
      <c r="R429" s="25" t="b">
        <f t="shared" si="16"/>
        <v>0</v>
      </c>
    </row>
    <row r="430" spans="1:18" ht="17" customHeight="1">
      <c r="A430" s="4">
        <v>429</v>
      </c>
      <c r="B430" s="162">
        <v>1</v>
      </c>
      <c r="C430" s="162">
        <v>1</v>
      </c>
      <c r="D430" s="162">
        <v>2</v>
      </c>
      <c r="E430" s="133" t="s">
        <v>2175</v>
      </c>
      <c r="F430" s="133">
        <v>4</v>
      </c>
      <c r="G430" s="133">
        <v>4</v>
      </c>
      <c r="H430" s="133">
        <v>3</v>
      </c>
      <c r="I430" s="133">
        <v>24</v>
      </c>
      <c r="J430" s="133">
        <v>15.35</v>
      </c>
      <c r="K430" s="133">
        <v>50</v>
      </c>
      <c r="L430" s="133">
        <v>5.2859999999999996</v>
      </c>
      <c r="M430" s="163">
        <v>154.5</v>
      </c>
      <c r="N430" s="38">
        <f>IF(CNC!C$14&gt;=L430,A430)</f>
        <v>429</v>
      </c>
      <c r="O430" s="25" t="b">
        <f>IF(CNC!C$15=I430,A430)</f>
        <v>0</v>
      </c>
      <c r="P430" s="25" t="b">
        <f>IF(CNC!C$16&lt;=J430,A430)</f>
        <v>0</v>
      </c>
      <c r="Q430" s="25" t="b">
        <f>IF(D430=CNC!AR$10,A430)</f>
        <v>0</v>
      </c>
      <c r="R430" s="25" t="b">
        <f t="shared" si="16"/>
        <v>0</v>
      </c>
    </row>
    <row r="431" spans="1:18" ht="17" customHeight="1">
      <c r="A431" s="4">
        <v>430</v>
      </c>
      <c r="B431" s="162">
        <v>1</v>
      </c>
      <c r="C431" s="162">
        <v>1</v>
      </c>
      <c r="D431" s="162">
        <v>2</v>
      </c>
      <c r="E431" s="133" t="s">
        <v>2176</v>
      </c>
      <c r="F431" s="133">
        <v>4</v>
      </c>
      <c r="G431" s="133">
        <v>4</v>
      </c>
      <c r="H431" s="133">
        <v>3</v>
      </c>
      <c r="I431" s="133">
        <v>28</v>
      </c>
      <c r="J431" s="133">
        <v>12.25</v>
      </c>
      <c r="K431" s="133">
        <v>50</v>
      </c>
      <c r="L431" s="133">
        <v>5.2859999999999996</v>
      </c>
      <c r="M431" s="163">
        <v>154.5</v>
      </c>
      <c r="N431" s="38">
        <f>IF(CNC!C$14&gt;=L431,A431)</f>
        <v>430</v>
      </c>
      <c r="O431" s="25" t="b">
        <f>IF(CNC!C$15=I431,A431)</f>
        <v>0</v>
      </c>
      <c r="P431" s="25" t="b">
        <f>IF(CNC!C$16&lt;=J431,A431)</f>
        <v>0</v>
      </c>
      <c r="Q431" s="25" t="b">
        <f>IF(D431=CNC!AR$10,A431)</f>
        <v>0</v>
      </c>
      <c r="R431" s="25" t="b">
        <f t="shared" si="16"/>
        <v>0</v>
      </c>
    </row>
    <row r="432" spans="1:18" ht="17" customHeight="1">
      <c r="A432" s="4">
        <v>431</v>
      </c>
      <c r="B432" s="162">
        <v>1</v>
      </c>
      <c r="C432" s="162">
        <v>1</v>
      </c>
      <c r="D432" s="162">
        <v>2</v>
      </c>
      <c r="E432" s="133" t="s">
        <v>2177</v>
      </c>
      <c r="F432" s="133">
        <v>4</v>
      </c>
      <c r="G432" s="133">
        <v>4</v>
      </c>
      <c r="H432" s="133">
        <v>3</v>
      </c>
      <c r="I432" s="133">
        <v>24</v>
      </c>
      <c r="J432" s="133">
        <v>12.17</v>
      </c>
      <c r="K432" s="133">
        <v>50</v>
      </c>
      <c r="L432" s="133">
        <v>5.2859999999999996</v>
      </c>
      <c r="M432" s="163">
        <v>140.5</v>
      </c>
      <c r="N432" s="38">
        <f>IF(CNC!C$14&gt;=L432,A432)</f>
        <v>431</v>
      </c>
      <c r="O432" s="25" t="b">
        <f>IF(CNC!C$15=I432,A432)</f>
        <v>0</v>
      </c>
      <c r="P432" s="25" t="b">
        <f>IF(CNC!C$16&lt;=J432,A432)</f>
        <v>0</v>
      </c>
      <c r="Q432" s="25" t="b">
        <f>IF(D432=CNC!AR$10,A432)</f>
        <v>0</v>
      </c>
      <c r="R432" s="25" t="b">
        <f t="shared" si="16"/>
        <v>0</v>
      </c>
    </row>
    <row r="433" spans="1:18" ht="17" customHeight="1">
      <c r="A433" s="4">
        <v>432</v>
      </c>
      <c r="B433" s="162">
        <v>1</v>
      </c>
      <c r="C433" s="162">
        <v>1</v>
      </c>
      <c r="D433" s="162">
        <v>2</v>
      </c>
      <c r="E433" s="133" t="s">
        <v>2178</v>
      </c>
      <c r="F433" s="133">
        <v>4</v>
      </c>
      <c r="G433" s="133">
        <v>4</v>
      </c>
      <c r="H433" s="133">
        <v>3</v>
      </c>
      <c r="I433" s="133">
        <v>24</v>
      </c>
      <c r="J433" s="133">
        <v>10.050000000000001</v>
      </c>
      <c r="K433" s="133">
        <v>50</v>
      </c>
      <c r="L433" s="133">
        <v>5.2859999999999996</v>
      </c>
      <c r="M433" s="163">
        <v>127.7</v>
      </c>
      <c r="N433" s="38">
        <f>IF(CNC!C$14&gt;=L433,A433)</f>
        <v>432</v>
      </c>
      <c r="O433" s="25" t="b">
        <f>IF(CNC!C$15=I433,A433)</f>
        <v>0</v>
      </c>
      <c r="P433" s="25" t="b">
        <f>IF(CNC!C$16&lt;=J433,A433)</f>
        <v>0</v>
      </c>
      <c r="Q433" s="25" t="b">
        <f>IF(D433=CNC!AR$10,A433)</f>
        <v>0</v>
      </c>
      <c r="R433" s="25" t="b">
        <f t="shared" si="16"/>
        <v>0</v>
      </c>
    </row>
    <row r="434" spans="1:18" ht="17" customHeight="1">
      <c r="A434" s="4">
        <v>433</v>
      </c>
      <c r="B434" s="162">
        <v>1</v>
      </c>
      <c r="C434" s="162">
        <v>1</v>
      </c>
      <c r="D434" s="162">
        <v>2</v>
      </c>
      <c r="E434" s="133" t="s">
        <v>2179</v>
      </c>
      <c r="F434" s="133">
        <v>4</v>
      </c>
      <c r="G434" s="133">
        <v>3</v>
      </c>
      <c r="H434" s="133">
        <v>3</v>
      </c>
      <c r="I434" s="133">
        <v>32</v>
      </c>
      <c r="J434" s="133">
        <v>9.1300000000000008</v>
      </c>
      <c r="K434" s="133">
        <v>50</v>
      </c>
      <c r="L434" s="133">
        <v>3.9660000000000002</v>
      </c>
      <c r="M434" s="163">
        <v>140.5</v>
      </c>
      <c r="N434" s="38">
        <f>IF(CNC!C$14&gt;=L434,A434)</f>
        <v>433</v>
      </c>
      <c r="O434" s="25" t="b">
        <f>IF(CNC!C$15=I434,A434)</f>
        <v>0</v>
      </c>
      <c r="P434" s="25" t="b">
        <f>IF(CNC!C$16&lt;=J434,A434)</f>
        <v>0</v>
      </c>
      <c r="Q434" s="25" t="b">
        <f>IF(D434=CNC!AR$10,A434)</f>
        <v>0</v>
      </c>
      <c r="R434" s="25" t="b">
        <f t="shared" si="16"/>
        <v>0</v>
      </c>
    </row>
    <row r="435" spans="1:18" ht="17" customHeight="1">
      <c r="A435" s="4">
        <v>434</v>
      </c>
      <c r="B435" s="162">
        <v>1</v>
      </c>
      <c r="C435" s="162">
        <v>1</v>
      </c>
      <c r="D435" s="162">
        <v>1</v>
      </c>
      <c r="E435" s="133" t="s">
        <v>2180</v>
      </c>
      <c r="F435" s="133">
        <v>4</v>
      </c>
      <c r="G435" s="133">
        <v>3</v>
      </c>
      <c r="H435" s="133">
        <v>3</v>
      </c>
      <c r="I435" s="133">
        <v>0.7</v>
      </c>
      <c r="J435" s="133">
        <v>8.75</v>
      </c>
      <c r="K435" s="133">
        <v>50</v>
      </c>
      <c r="L435" s="133">
        <v>3.8</v>
      </c>
      <c r="M435" s="163">
        <v>140.5</v>
      </c>
      <c r="N435" s="38">
        <f>IF(CNC!C$14&gt;=L435,A435)</f>
        <v>434</v>
      </c>
      <c r="O435" s="25" t="b">
        <f>IF(CNC!C$15=I435,A435)</f>
        <v>0</v>
      </c>
      <c r="P435" s="25" t="b">
        <f>IF(CNC!C$16&lt;=J435,A435)</f>
        <v>0</v>
      </c>
      <c r="Q435" s="25">
        <f>IF(D435=CNC!AR$10,A435)</f>
        <v>434</v>
      </c>
      <c r="R435" s="25" t="b">
        <f t="shared" si="16"/>
        <v>0</v>
      </c>
    </row>
    <row r="436" spans="1:18" ht="17" customHeight="1">
      <c r="A436" s="4">
        <v>435</v>
      </c>
      <c r="B436" s="162">
        <v>1</v>
      </c>
      <c r="C436" s="162">
        <v>1</v>
      </c>
      <c r="D436" s="162">
        <v>2</v>
      </c>
      <c r="E436" s="133" t="s">
        <v>2181</v>
      </c>
      <c r="F436" s="133">
        <v>4</v>
      </c>
      <c r="G436" s="133">
        <v>3</v>
      </c>
      <c r="H436" s="133">
        <v>3</v>
      </c>
      <c r="I436" s="133">
        <v>32</v>
      </c>
      <c r="J436" s="133">
        <v>7.54</v>
      </c>
      <c r="K436" s="133">
        <v>50</v>
      </c>
      <c r="L436" s="133">
        <v>3.9660000000000002</v>
      </c>
      <c r="M436" s="163">
        <v>127.7</v>
      </c>
      <c r="N436" s="38">
        <f>IF(CNC!C$14&gt;=L436,A436)</f>
        <v>435</v>
      </c>
      <c r="O436" s="25" t="b">
        <f>IF(CNC!C$15=I436,A436)</f>
        <v>0</v>
      </c>
      <c r="P436" s="25" t="b">
        <f>IF(CNC!C$16&lt;=J436,A436)</f>
        <v>0</v>
      </c>
      <c r="Q436" s="25" t="b">
        <f>IF(D436=CNC!AR$10,A436)</f>
        <v>0</v>
      </c>
      <c r="R436" s="25" t="b">
        <f t="shared" si="16"/>
        <v>0</v>
      </c>
    </row>
    <row r="437" spans="1:18" ht="17" customHeight="1">
      <c r="A437" s="4">
        <v>436</v>
      </c>
      <c r="B437" s="162">
        <v>1</v>
      </c>
      <c r="C437" s="162">
        <v>1</v>
      </c>
      <c r="D437" s="162">
        <v>1</v>
      </c>
      <c r="E437" s="133" t="s">
        <v>2182</v>
      </c>
      <c r="F437" s="133">
        <v>4</v>
      </c>
      <c r="G437" s="133">
        <v>3</v>
      </c>
      <c r="H437" s="133">
        <v>3</v>
      </c>
      <c r="I437" s="133">
        <v>0.7</v>
      </c>
      <c r="J437" s="133">
        <v>7.35</v>
      </c>
      <c r="K437" s="133">
        <v>50</v>
      </c>
      <c r="L437" s="133">
        <v>3.8</v>
      </c>
      <c r="M437" s="163">
        <v>127.7</v>
      </c>
      <c r="N437" s="38">
        <f>IF(CNC!C$14&gt;=L437,A437)</f>
        <v>436</v>
      </c>
      <c r="O437" s="25" t="b">
        <f>IF(CNC!C$15=I437,A437)</f>
        <v>0</v>
      </c>
      <c r="P437" s="25" t="b">
        <f>IF(CNC!C$16&lt;=J437,A437)</f>
        <v>0</v>
      </c>
      <c r="Q437" s="25">
        <f>IF(D437=CNC!AR$10,A437)</f>
        <v>436</v>
      </c>
      <c r="R437" s="25" t="b">
        <f t="shared" si="16"/>
        <v>0</v>
      </c>
    </row>
    <row r="438" spans="1:18" ht="17" customHeight="1">
      <c r="A438" s="4">
        <v>437</v>
      </c>
      <c r="B438" s="162">
        <v>1</v>
      </c>
      <c r="C438" s="162">
        <v>1</v>
      </c>
      <c r="D438" s="162">
        <v>2</v>
      </c>
      <c r="E438" s="133" t="s">
        <v>2183</v>
      </c>
      <c r="F438" s="133">
        <v>4</v>
      </c>
      <c r="G438" s="133">
        <v>3</v>
      </c>
      <c r="H438" s="133">
        <v>3</v>
      </c>
      <c r="I438" s="133">
        <v>32</v>
      </c>
      <c r="J438" s="133">
        <v>11.51</v>
      </c>
      <c r="K438" s="133">
        <v>50</v>
      </c>
      <c r="L438" s="133">
        <v>3.9660000000000002</v>
      </c>
      <c r="M438" s="163">
        <v>154.5</v>
      </c>
      <c r="N438" s="38">
        <f>IF(CNC!C$14&gt;=L438,A438)</f>
        <v>437</v>
      </c>
      <c r="O438" s="25" t="b">
        <f>IF(CNC!C$15=I438,A438)</f>
        <v>0</v>
      </c>
      <c r="P438" s="25" t="b">
        <f>IF(CNC!C$16&lt;=J438,A438)</f>
        <v>0</v>
      </c>
      <c r="Q438" s="25" t="b">
        <f>IF(D438=CNC!AR$10,A438)</f>
        <v>0</v>
      </c>
      <c r="R438" s="25" t="b">
        <f t="shared" si="16"/>
        <v>0</v>
      </c>
    </row>
    <row r="439" spans="1:18" ht="17" customHeight="1">
      <c r="A439" s="4">
        <v>438</v>
      </c>
      <c r="B439" s="162">
        <v>1</v>
      </c>
      <c r="C439" s="162">
        <v>1</v>
      </c>
      <c r="D439" s="162">
        <v>1</v>
      </c>
      <c r="E439" s="133" t="s">
        <v>2184</v>
      </c>
      <c r="F439" s="133">
        <v>4</v>
      </c>
      <c r="G439" s="133">
        <v>3</v>
      </c>
      <c r="H439" s="133">
        <v>3</v>
      </c>
      <c r="I439" s="133">
        <v>0.7</v>
      </c>
      <c r="J439" s="133">
        <v>10.85</v>
      </c>
      <c r="K439" s="133">
        <v>50</v>
      </c>
      <c r="L439" s="133">
        <v>3.8</v>
      </c>
      <c r="M439" s="163">
        <v>154.5</v>
      </c>
      <c r="N439" s="38">
        <f>IF(CNC!C$14&gt;=L439,A439)</f>
        <v>438</v>
      </c>
      <c r="O439" s="25" t="b">
        <f>IF(CNC!C$15=I439,A439)</f>
        <v>0</v>
      </c>
      <c r="P439" s="25" t="b">
        <f>IF(CNC!C$16&lt;=J439,A439)</f>
        <v>0</v>
      </c>
      <c r="Q439" s="25">
        <f>IF(D439=CNC!AR$10,A439)</f>
        <v>438</v>
      </c>
      <c r="R439" s="25" t="b">
        <f t="shared" si="16"/>
        <v>0</v>
      </c>
    </row>
    <row r="440" spans="1:18" ht="17" customHeight="1">
      <c r="A440" s="4">
        <v>439</v>
      </c>
      <c r="B440" s="162">
        <v>1</v>
      </c>
      <c r="C440" s="162">
        <v>1</v>
      </c>
      <c r="D440" s="162">
        <v>1</v>
      </c>
      <c r="E440" s="133" t="s">
        <v>2185</v>
      </c>
      <c r="F440" s="133">
        <v>4</v>
      </c>
      <c r="G440" s="133">
        <v>3.8</v>
      </c>
      <c r="H440" s="133">
        <v>3</v>
      </c>
      <c r="I440" s="133">
        <v>0.8</v>
      </c>
      <c r="J440" s="133">
        <v>8.4</v>
      </c>
      <c r="K440" s="133">
        <v>50</v>
      </c>
      <c r="L440" s="133">
        <v>4.8</v>
      </c>
      <c r="M440" s="163">
        <v>127.7</v>
      </c>
      <c r="N440" s="38">
        <f>IF(CNC!C$14&gt;=L440,A440)</f>
        <v>439</v>
      </c>
      <c r="O440" s="25" t="b">
        <f>IF(CNC!C$15=I440,A440)</f>
        <v>0</v>
      </c>
      <c r="P440" s="25" t="b">
        <f>IF(CNC!C$16&lt;=J440,A440)</f>
        <v>0</v>
      </c>
      <c r="Q440" s="25">
        <f>IF(D440=CNC!AR$10,A440)</f>
        <v>439</v>
      </c>
      <c r="R440" s="25" t="b">
        <f t="shared" si="16"/>
        <v>0</v>
      </c>
    </row>
    <row r="441" spans="1:18" ht="17" customHeight="1">
      <c r="A441" s="4">
        <v>440</v>
      </c>
      <c r="B441" s="162">
        <v>1</v>
      </c>
      <c r="C441" s="162">
        <v>1</v>
      </c>
      <c r="D441" s="162">
        <v>1</v>
      </c>
      <c r="E441" s="133" t="s">
        <v>2186</v>
      </c>
      <c r="F441" s="133">
        <v>4</v>
      </c>
      <c r="G441" s="133">
        <v>3.8</v>
      </c>
      <c r="H441" s="133">
        <v>3</v>
      </c>
      <c r="I441" s="133">
        <v>0.8</v>
      </c>
      <c r="J441" s="133">
        <v>13.2</v>
      </c>
      <c r="K441" s="133">
        <v>50</v>
      </c>
      <c r="L441" s="133">
        <v>4.8</v>
      </c>
      <c r="M441" s="163">
        <v>154.5</v>
      </c>
      <c r="N441" s="38">
        <f>IF(CNC!C$14&gt;=L441,A441)</f>
        <v>440</v>
      </c>
      <c r="O441" s="25" t="b">
        <f>IF(CNC!C$15=I441,A441)</f>
        <v>0</v>
      </c>
      <c r="P441" s="25" t="b">
        <f>IF(CNC!C$16&lt;=J441,A441)</f>
        <v>0</v>
      </c>
      <c r="Q441" s="25">
        <f>IF(D441=CNC!AR$10,A441)</f>
        <v>440</v>
      </c>
      <c r="R441" s="25" t="b">
        <f t="shared" si="16"/>
        <v>0</v>
      </c>
    </row>
    <row r="442" spans="1:18" ht="17" customHeight="1">
      <c r="A442" s="4">
        <v>441</v>
      </c>
      <c r="B442" s="162">
        <v>1</v>
      </c>
      <c r="C442" s="162">
        <v>1</v>
      </c>
      <c r="D442" s="162">
        <v>1</v>
      </c>
      <c r="E442" s="133" t="s">
        <v>2187</v>
      </c>
      <c r="F442" s="133">
        <v>4</v>
      </c>
      <c r="G442" s="133">
        <v>3.8</v>
      </c>
      <c r="H442" s="133">
        <v>3</v>
      </c>
      <c r="I442" s="133">
        <v>0.8</v>
      </c>
      <c r="J442" s="133">
        <v>10.8</v>
      </c>
      <c r="K442" s="133">
        <v>50</v>
      </c>
      <c r="L442" s="133">
        <v>4.8</v>
      </c>
      <c r="M442" s="163">
        <v>140.5</v>
      </c>
      <c r="N442" s="38">
        <f>IF(CNC!C$14&gt;=L442,A442)</f>
        <v>441</v>
      </c>
      <c r="O442" s="25" t="b">
        <f>IF(CNC!C$15=I442,A442)</f>
        <v>0</v>
      </c>
      <c r="P442" s="25" t="b">
        <f>IF(CNC!C$16&lt;=J442,A442)</f>
        <v>0</v>
      </c>
      <c r="Q442" s="25">
        <f>IF(D442=CNC!AR$10,A442)</f>
        <v>441</v>
      </c>
      <c r="R442" s="25" t="b">
        <f t="shared" si="16"/>
        <v>0</v>
      </c>
    </row>
    <row r="443" spans="1:18" ht="17" customHeight="1">
      <c r="A443" s="4">
        <v>442</v>
      </c>
      <c r="B443" s="162">
        <v>1</v>
      </c>
      <c r="C443" s="162">
        <v>1</v>
      </c>
      <c r="D443" s="162">
        <v>1</v>
      </c>
      <c r="E443" s="133" t="s">
        <v>2188</v>
      </c>
      <c r="F443" s="133">
        <v>4</v>
      </c>
      <c r="G443" s="133">
        <v>3.8</v>
      </c>
      <c r="H443" s="133">
        <v>3</v>
      </c>
      <c r="I443" s="133">
        <v>0.5</v>
      </c>
      <c r="J443" s="133">
        <v>10.75</v>
      </c>
      <c r="K443" s="133">
        <v>50</v>
      </c>
      <c r="L443" s="133">
        <v>4.8</v>
      </c>
      <c r="M443" s="163">
        <v>140.5</v>
      </c>
      <c r="N443" s="38">
        <f>IF(CNC!C$14&gt;=L443,A443)</f>
        <v>442</v>
      </c>
      <c r="O443" s="25" t="b">
        <f>IF(CNC!C$15=I443,A443)</f>
        <v>0</v>
      </c>
      <c r="P443" s="25" t="b">
        <f>IF(CNC!C$16&lt;=J443,A443)</f>
        <v>0</v>
      </c>
      <c r="Q443" s="25">
        <f>IF(D443=CNC!AR$10,A443)</f>
        <v>442</v>
      </c>
      <c r="R443" s="25" t="b">
        <f t="shared" si="16"/>
        <v>0</v>
      </c>
    </row>
    <row r="444" spans="1:18" ht="17" customHeight="1">
      <c r="A444" s="4">
        <v>443</v>
      </c>
      <c r="B444" s="162">
        <v>1</v>
      </c>
      <c r="C444" s="162">
        <v>1</v>
      </c>
      <c r="D444" s="162">
        <v>2</v>
      </c>
      <c r="E444" s="133" t="s">
        <v>2230</v>
      </c>
      <c r="F444" s="133">
        <v>4</v>
      </c>
      <c r="G444" s="133">
        <v>3.6</v>
      </c>
      <c r="H444" s="133">
        <v>3</v>
      </c>
      <c r="I444" s="133">
        <v>24</v>
      </c>
      <c r="J444" s="133">
        <v>9</v>
      </c>
      <c r="K444" s="133">
        <v>50</v>
      </c>
      <c r="L444" s="133">
        <v>4.6260000000000003</v>
      </c>
      <c r="M444" s="163">
        <v>127.7</v>
      </c>
      <c r="N444" s="38">
        <f>IF(CNC!C$14&gt;=L444,A444)</f>
        <v>443</v>
      </c>
      <c r="O444" s="25" t="b">
        <f>IF(CNC!C$15=I444,A444)</f>
        <v>0</v>
      </c>
      <c r="P444" s="25" t="b">
        <f>IF(CNC!C$16&lt;=J444,A444)</f>
        <v>0</v>
      </c>
      <c r="Q444" s="25" t="b">
        <f>IF(D444=CNC!AR$10,A444)</f>
        <v>0</v>
      </c>
      <c r="R444" s="25" t="b">
        <f t="shared" si="16"/>
        <v>0</v>
      </c>
    </row>
    <row r="445" spans="1:18" ht="17" customHeight="1">
      <c r="A445" s="4">
        <v>444</v>
      </c>
      <c r="B445" s="162">
        <v>1</v>
      </c>
      <c r="C445" s="162">
        <v>1</v>
      </c>
      <c r="D445" s="162">
        <v>2</v>
      </c>
      <c r="E445" s="133" t="s">
        <v>2189</v>
      </c>
      <c r="F445" s="133">
        <v>4</v>
      </c>
      <c r="G445" s="133">
        <v>3.6</v>
      </c>
      <c r="H445" s="133">
        <v>3</v>
      </c>
      <c r="I445" s="133">
        <v>32</v>
      </c>
      <c r="J445" s="133">
        <v>8.33</v>
      </c>
      <c r="K445" s="133">
        <v>50</v>
      </c>
      <c r="L445" s="133">
        <v>4.6260000000000003</v>
      </c>
      <c r="M445" s="163">
        <v>140.5</v>
      </c>
      <c r="N445" s="38">
        <f>IF(CNC!C$14&gt;=L445,A445)</f>
        <v>444</v>
      </c>
      <c r="O445" s="25" t="b">
        <f>IF(CNC!C$15=I445,A445)</f>
        <v>0</v>
      </c>
      <c r="P445" s="25" t="b">
        <f>IF(CNC!C$16&lt;=J445,A445)</f>
        <v>0</v>
      </c>
      <c r="Q445" s="25" t="b">
        <f>IF(D445=CNC!AR$10,A445)</f>
        <v>0</v>
      </c>
      <c r="R445" s="25" t="b">
        <f t="shared" si="16"/>
        <v>0</v>
      </c>
    </row>
    <row r="446" spans="1:18" ht="17" customHeight="1">
      <c r="A446" s="4">
        <v>445</v>
      </c>
      <c r="B446" s="162">
        <v>1</v>
      </c>
      <c r="C446" s="162">
        <v>1</v>
      </c>
      <c r="D446" s="162">
        <v>2</v>
      </c>
      <c r="E446" s="133" t="s">
        <v>2231</v>
      </c>
      <c r="F446" s="133">
        <v>4</v>
      </c>
      <c r="G446" s="133">
        <v>3.6</v>
      </c>
      <c r="H446" s="133">
        <v>3</v>
      </c>
      <c r="I446" s="133">
        <v>24</v>
      </c>
      <c r="J446" s="133">
        <v>13.23</v>
      </c>
      <c r="K446" s="133">
        <v>50</v>
      </c>
      <c r="L446" s="133">
        <v>4.6260000000000003</v>
      </c>
      <c r="M446" s="163">
        <v>154.5</v>
      </c>
      <c r="N446" s="38">
        <f>IF(CNC!C$14&gt;=L446,A446)</f>
        <v>445</v>
      </c>
      <c r="O446" s="25" t="b">
        <f>IF(CNC!C$15=I446,A446)</f>
        <v>0</v>
      </c>
      <c r="P446" s="25" t="b">
        <f>IF(CNC!C$16&lt;=J446,A446)</f>
        <v>0</v>
      </c>
      <c r="Q446" s="25" t="b">
        <f>IF(D446=CNC!AR$10,A446)</f>
        <v>0</v>
      </c>
      <c r="R446" s="25" t="b">
        <f t="shared" ref="R446:R488" si="17">IF(N446=FALSE,FALSE,IF(O446=FALSE,FALSE,IF(P446=FALSE,FALSE,IF(Q446=FALSE,FALSE,A446))))</f>
        <v>0</v>
      </c>
    </row>
    <row r="447" spans="1:18" ht="17" customHeight="1">
      <c r="A447" s="4">
        <v>446</v>
      </c>
      <c r="B447" s="162">
        <v>1</v>
      </c>
      <c r="C447" s="162">
        <v>1</v>
      </c>
      <c r="D447" s="162">
        <v>2</v>
      </c>
      <c r="E447" s="133" t="s">
        <v>2232</v>
      </c>
      <c r="F447" s="133">
        <v>4</v>
      </c>
      <c r="G447" s="133">
        <v>3.6</v>
      </c>
      <c r="H447" s="133">
        <v>3</v>
      </c>
      <c r="I447" s="133">
        <v>24</v>
      </c>
      <c r="J447" s="133">
        <v>11.11</v>
      </c>
      <c r="K447" s="133">
        <v>50</v>
      </c>
      <c r="L447" s="133">
        <v>4.6260000000000003</v>
      </c>
      <c r="M447" s="163">
        <v>140.5</v>
      </c>
      <c r="N447" s="38">
        <f>IF(CNC!C$14&gt;=L447,A447)</f>
        <v>446</v>
      </c>
      <c r="O447" s="25" t="b">
        <f>IF(CNC!C$15=I447,A447)</f>
        <v>0</v>
      </c>
      <c r="P447" s="25" t="b">
        <f>IF(CNC!C$16&lt;=J447,A447)</f>
        <v>0</v>
      </c>
      <c r="Q447" s="25" t="b">
        <f>IF(D447=CNC!AR$10,A447)</f>
        <v>0</v>
      </c>
      <c r="R447" s="25" t="b">
        <f t="shared" si="17"/>
        <v>0</v>
      </c>
    </row>
    <row r="448" spans="1:18" ht="17" customHeight="1">
      <c r="A448" s="4">
        <v>447</v>
      </c>
      <c r="B448" s="162">
        <v>1</v>
      </c>
      <c r="C448" s="162">
        <v>1</v>
      </c>
      <c r="D448" s="162">
        <v>2</v>
      </c>
      <c r="E448" s="133" t="s">
        <v>2190</v>
      </c>
      <c r="F448" s="133">
        <v>4</v>
      </c>
      <c r="G448" s="133">
        <v>3.6</v>
      </c>
      <c r="H448" s="133">
        <v>3</v>
      </c>
      <c r="I448" s="133">
        <v>32</v>
      </c>
      <c r="J448" s="133">
        <v>10.72</v>
      </c>
      <c r="K448" s="133">
        <v>50</v>
      </c>
      <c r="L448" s="133">
        <v>4.6260000000000003</v>
      </c>
      <c r="M448" s="163">
        <v>154.5</v>
      </c>
      <c r="N448" s="38">
        <f>IF(CNC!C$14&gt;=L448,A448)</f>
        <v>447</v>
      </c>
      <c r="O448" s="25" t="b">
        <f>IF(CNC!C$15=I448,A448)</f>
        <v>0</v>
      </c>
      <c r="P448" s="25" t="b">
        <f>IF(CNC!C$16&lt;=J448,A448)</f>
        <v>0</v>
      </c>
      <c r="Q448" s="25" t="b">
        <f>IF(D448=CNC!AR$10,A448)</f>
        <v>0</v>
      </c>
      <c r="R448" s="25" t="b">
        <f t="shared" si="17"/>
        <v>0</v>
      </c>
    </row>
    <row r="449" spans="1:18" ht="17" customHeight="1">
      <c r="A449" s="4">
        <v>448</v>
      </c>
      <c r="B449" s="162">
        <v>1</v>
      </c>
      <c r="C449" s="162">
        <v>1</v>
      </c>
      <c r="D449" s="162">
        <v>1</v>
      </c>
      <c r="E449" s="133" t="s">
        <v>2191</v>
      </c>
      <c r="F449" s="133">
        <v>4</v>
      </c>
      <c r="G449" s="133">
        <v>3.4</v>
      </c>
      <c r="H449" s="133">
        <v>3</v>
      </c>
      <c r="I449" s="133">
        <v>0.75</v>
      </c>
      <c r="J449" s="133">
        <v>7.87</v>
      </c>
      <c r="K449" s="133">
        <v>50</v>
      </c>
      <c r="L449" s="133">
        <v>4.3</v>
      </c>
      <c r="M449" s="163">
        <v>127.7</v>
      </c>
      <c r="N449" s="38">
        <f>IF(CNC!C$14&gt;=L449,A449)</f>
        <v>448</v>
      </c>
      <c r="O449" s="25" t="b">
        <f>IF(CNC!C$15=I449,A449)</f>
        <v>0</v>
      </c>
      <c r="P449" s="25" t="b">
        <f>IF(CNC!C$16&lt;=J449,A449)</f>
        <v>0</v>
      </c>
      <c r="Q449" s="25">
        <f>IF(D449=CNC!AR$10,A449)</f>
        <v>448</v>
      </c>
      <c r="R449" s="25" t="b">
        <f t="shared" si="17"/>
        <v>0</v>
      </c>
    </row>
    <row r="450" spans="1:18" ht="17" customHeight="1">
      <c r="A450" s="4">
        <v>449</v>
      </c>
      <c r="B450" s="162">
        <v>1</v>
      </c>
      <c r="C450" s="162">
        <v>1</v>
      </c>
      <c r="D450" s="162">
        <v>1</v>
      </c>
      <c r="E450" s="133" t="s">
        <v>2192</v>
      </c>
      <c r="F450" s="133">
        <v>4</v>
      </c>
      <c r="G450" s="133">
        <v>3.4</v>
      </c>
      <c r="H450" s="133">
        <v>3</v>
      </c>
      <c r="I450" s="133">
        <v>0.75</v>
      </c>
      <c r="J450" s="133">
        <v>10.119999999999999</v>
      </c>
      <c r="K450" s="133">
        <v>50</v>
      </c>
      <c r="L450" s="133">
        <v>4.3</v>
      </c>
      <c r="M450" s="163">
        <v>140.5</v>
      </c>
      <c r="N450" s="38">
        <f>IF(CNC!C$14&gt;=L450,A450)</f>
        <v>449</v>
      </c>
      <c r="O450" s="25" t="b">
        <f>IF(CNC!C$15=I450,A450)</f>
        <v>0</v>
      </c>
      <c r="P450" s="25" t="b">
        <f>IF(CNC!C$16&lt;=J450,A450)</f>
        <v>0</v>
      </c>
      <c r="Q450" s="25">
        <f>IF(D450=CNC!AR$10,A450)</f>
        <v>449</v>
      </c>
      <c r="R450" s="25" t="b">
        <f t="shared" si="17"/>
        <v>0</v>
      </c>
    </row>
    <row r="451" spans="1:18" ht="17" customHeight="1">
      <c r="A451" s="4">
        <v>450</v>
      </c>
      <c r="B451" s="162">
        <v>1</v>
      </c>
      <c r="C451" s="162">
        <v>1</v>
      </c>
      <c r="D451" s="162">
        <v>2</v>
      </c>
      <c r="E451" s="133" t="s">
        <v>2193</v>
      </c>
      <c r="F451" s="133">
        <v>4</v>
      </c>
      <c r="G451" s="133">
        <v>3.1</v>
      </c>
      <c r="H451" s="133">
        <v>3</v>
      </c>
      <c r="I451" s="133">
        <v>36</v>
      </c>
      <c r="J451" s="133">
        <v>9.5299999999999994</v>
      </c>
      <c r="K451" s="133">
        <v>50</v>
      </c>
      <c r="L451" s="133">
        <v>3.9660000000000002</v>
      </c>
      <c r="M451" s="163">
        <v>154.5</v>
      </c>
      <c r="N451" s="38">
        <f>IF(CNC!C$14&gt;=L451,A451)</f>
        <v>450</v>
      </c>
      <c r="O451" s="25" t="b">
        <f>IF(CNC!C$15=I451,A451)</f>
        <v>0</v>
      </c>
      <c r="P451" s="25" t="b">
        <f>IF(CNC!C$16&lt;=J451,A451)</f>
        <v>0</v>
      </c>
      <c r="Q451" s="25" t="b">
        <f>IF(D451=CNC!AR$10,A451)</f>
        <v>0</v>
      </c>
      <c r="R451" s="25" t="b">
        <f t="shared" si="17"/>
        <v>0</v>
      </c>
    </row>
    <row r="452" spans="1:18" ht="17" customHeight="1">
      <c r="A452" s="4">
        <v>451</v>
      </c>
      <c r="B452" s="162">
        <v>1</v>
      </c>
      <c r="C452" s="162">
        <v>1</v>
      </c>
      <c r="D452" s="162">
        <v>2</v>
      </c>
      <c r="E452" s="133" t="s">
        <v>2194</v>
      </c>
      <c r="F452" s="133">
        <v>4</v>
      </c>
      <c r="G452" s="133">
        <v>3.1</v>
      </c>
      <c r="H452" s="133">
        <v>3</v>
      </c>
      <c r="I452" s="133">
        <v>36</v>
      </c>
      <c r="J452" s="133">
        <v>7.41</v>
      </c>
      <c r="K452" s="133">
        <v>50</v>
      </c>
      <c r="L452" s="133">
        <v>3.9660000000000002</v>
      </c>
      <c r="M452" s="163">
        <v>140.5</v>
      </c>
      <c r="N452" s="38">
        <f>IF(CNC!C$14&gt;=L452,A452)</f>
        <v>451</v>
      </c>
      <c r="O452" s="25" t="b">
        <f>IF(CNC!C$15=I452,A452)</f>
        <v>0</v>
      </c>
      <c r="P452" s="25" t="b">
        <f>IF(CNC!C$16&lt;=J452,A452)</f>
        <v>0</v>
      </c>
      <c r="Q452" s="25" t="b">
        <f>IF(D452=CNC!AR$10,A452)</f>
        <v>0</v>
      </c>
      <c r="R452" s="25" t="b">
        <f t="shared" si="17"/>
        <v>0</v>
      </c>
    </row>
    <row r="453" spans="1:18" ht="17" customHeight="1">
      <c r="A453" s="4">
        <v>452</v>
      </c>
      <c r="B453" s="162">
        <v>1</v>
      </c>
      <c r="C453" s="162">
        <v>1</v>
      </c>
      <c r="D453" s="162">
        <v>2</v>
      </c>
      <c r="E453" s="133" t="s">
        <v>2249</v>
      </c>
      <c r="F453" s="133">
        <v>4</v>
      </c>
      <c r="G453" s="133">
        <v>2.6</v>
      </c>
      <c r="H453" s="133">
        <v>3</v>
      </c>
      <c r="I453" s="133">
        <v>40</v>
      </c>
      <c r="J453" s="133">
        <v>7.94</v>
      </c>
      <c r="K453" s="133">
        <v>50</v>
      </c>
      <c r="L453" s="133">
        <v>3.3050000000000002</v>
      </c>
      <c r="M453" s="163">
        <v>154.5</v>
      </c>
      <c r="N453" s="38">
        <f>IF(CNC!C$14&gt;=L453,A453)</f>
        <v>452</v>
      </c>
      <c r="O453" s="25" t="b">
        <f>IF(CNC!C$15=I453,A453)</f>
        <v>0</v>
      </c>
      <c r="P453" s="25" t="b">
        <f>IF(CNC!C$16&lt;=J453,A453)</f>
        <v>0</v>
      </c>
      <c r="Q453" s="25" t="b">
        <f>IF(D453=CNC!AR$10,A453)</f>
        <v>0</v>
      </c>
      <c r="R453" s="25" t="b">
        <f t="shared" si="17"/>
        <v>0</v>
      </c>
    </row>
    <row r="454" spans="1:18" ht="17" customHeight="1">
      <c r="A454" s="4">
        <v>453</v>
      </c>
      <c r="B454" s="162">
        <v>1</v>
      </c>
      <c r="C454" s="162">
        <v>1</v>
      </c>
      <c r="D454" s="162">
        <v>1</v>
      </c>
      <c r="E454" s="133" t="s">
        <v>2195</v>
      </c>
      <c r="F454" s="133">
        <v>4</v>
      </c>
      <c r="G454" s="133">
        <v>2.6</v>
      </c>
      <c r="H454" s="133">
        <v>3</v>
      </c>
      <c r="I454" s="133">
        <v>0.6</v>
      </c>
      <c r="J454" s="133">
        <v>8.1</v>
      </c>
      <c r="K454" s="133">
        <v>50</v>
      </c>
      <c r="L454" s="133">
        <v>3.3</v>
      </c>
      <c r="M454" s="163">
        <v>140.5</v>
      </c>
      <c r="N454" s="38">
        <f>IF(CNC!C$14&gt;=L454,A454)</f>
        <v>453</v>
      </c>
      <c r="O454" s="25" t="b">
        <f>IF(CNC!C$15=I454,A454)</f>
        <v>0</v>
      </c>
      <c r="P454" s="25" t="b">
        <f>IF(CNC!C$16&lt;=J454,A454)</f>
        <v>0</v>
      </c>
      <c r="Q454" s="25">
        <f>IF(D454=CNC!AR$10,A454)</f>
        <v>453</v>
      </c>
      <c r="R454" s="25" t="b">
        <f t="shared" si="17"/>
        <v>0</v>
      </c>
    </row>
    <row r="455" spans="1:18" ht="17" customHeight="1">
      <c r="A455" s="4">
        <v>454</v>
      </c>
      <c r="B455" s="162">
        <v>1</v>
      </c>
      <c r="C455" s="162">
        <v>1</v>
      </c>
      <c r="D455" s="162">
        <v>2</v>
      </c>
      <c r="E455" s="133" t="s">
        <v>2196</v>
      </c>
      <c r="F455" s="133">
        <v>4</v>
      </c>
      <c r="G455" s="133">
        <v>2.6</v>
      </c>
      <c r="H455" s="133">
        <v>3</v>
      </c>
      <c r="I455" s="133">
        <v>40</v>
      </c>
      <c r="J455" s="133">
        <v>6.03</v>
      </c>
      <c r="K455" s="133">
        <v>50</v>
      </c>
      <c r="L455" s="133">
        <v>3.3050000000000002</v>
      </c>
      <c r="M455" s="163">
        <v>140.5</v>
      </c>
      <c r="N455" s="38">
        <f>IF(CNC!C$14&gt;=L455,A455)</f>
        <v>454</v>
      </c>
      <c r="O455" s="25" t="b">
        <f>IF(CNC!C$15=I455,A455)</f>
        <v>0</v>
      </c>
      <c r="P455" s="25" t="b">
        <f>IF(CNC!C$16&lt;=J455,A455)</f>
        <v>0</v>
      </c>
      <c r="Q455" s="25" t="b">
        <f>IF(D455=CNC!AR$10,A455)</f>
        <v>0</v>
      </c>
      <c r="R455" s="25" t="b">
        <f t="shared" si="17"/>
        <v>0</v>
      </c>
    </row>
    <row r="456" spans="1:18" ht="17" customHeight="1">
      <c r="A456" s="4">
        <v>455</v>
      </c>
      <c r="B456" s="162">
        <v>1</v>
      </c>
      <c r="C456" s="162">
        <v>1</v>
      </c>
      <c r="D456" s="162">
        <v>1</v>
      </c>
      <c r="E456" s="133" t="s">
        <v>2197</v>
      </c>
      <c r="F456" s="133">
        <v>4</v>
      </c>
      <c r="G456" s="133">
        <v>2.6</v>
      </c>
      <c r="H456" s="133">
        <v>3</v>
      </c>
      <c r="I456" s="133">
        <v>0.6</v>
      </c>
      <c r="J456" s="133">
        <v>6.3</v>
      </c>
      <c r="K456" s="133">
        <v>50</v>
      </c>
      <c r="L456" s="133">
        <v>3.3</v>
      </c>
      <c r="M456" s="163">
        <v>127.7</v>
      </c>
      <c r="N456" s="38">
        <f>IF(CNC!C$14&gt;=L456,A456)</f>
        <v>455</v>
      </c>
      <c r="O456" s="25" t="b">
        <f>IF(CNC!C$15=I456,A456)</f>
        <v>0</v>
      </c>
      <c r="P456" s="25" t="b">
        <f>IF(CNC!C$16&lt;=J456,A456)</f>
        <v>0</v>
      </c>
      <c r="Q456" s="25">
        <f>IF(D456=CNC!AR$10,A456)</f>
        <v>455</v>
      </c>
      <c r="R456" s="25" t="b">
        <f t="shared" si="17"/>
        <v>0</v>
      </c>
    </row>
    <row r="457" spans="1:18" ht="17" customHeight="1">
      <c r="A457" s="4">
        <v>456</v>
      </c>
      <c r="B457" s="162">
        <v>1</v>
      </c>
      <c r="C457" s="162">
        <v>1</v>
      </c>
      <c r="D457" s="162">
        <v>2</v>
      </c>
      <c r="E457" s="133" t="s">
        <v>2198</v>
      </c>
      <c r="F457" s="133">
        <v>4</v>
      </c>
      <c r="G457" s="133">
        <v>2.5</v>
      </c>
      <c r="H457" s="133">
        <v>3</v>
      </c>
      <c r="I457" s="133">
        <v>32</v>
      </c>
      <c r="J457" s="133">
        <v>8.33</v>
      </c>
      <c r="K457" s="133">
        <v>50</v>
      </c>
      <c r="L457" s="133">
        <v>3.3050000000000002</v>
      </c>
      <c r="M457" s="163">
        <v>140.5</v>
      </c>
      <c r="N457" s="38">
        <f>IF(CNC!C$14&gt;=L457,A457)</f>
        <v>456</v>
      </c>
      <c r="O457" s="25" t="b">
        <f>IF(CNC!C$15=I457,A457)</f>
        <v>0</v>
      </c>
      <c r="P457" s="25" t="b">
        <f>IF(CNC!C$16&lt;=J457,A457)</f>
        <v>0</v>
      </c>
      <c r="Q457" s="25" t="b">
        <f>IF(D457=CNC!AR$10,A457)</f>
        <v>0</v>
      </c>
      <c r="R457" s="25" t="b">
        <f t="shared" si="17"/>
        <v>0</v>
      </c>
    </row>
    <row r="458" spans="1:18" ht="17" customHeight="1">
      <c r="A458" s="4">
        <v>457</v>
      </c>
      <c r="B458" s="162">
        <v>1</v>
      </c>
      <c r="C458" s="162">
        <v>1</v>
      </c>
      <c r="D458" s="162">
        <v>2</v>
      </c>
      <c r="E458" s="133" t="s">
        <v>2199</v>
      </c>
      <c r="F458" s="133">
        <v>4</v>
      </c>
      <c r="G458" s="133">
        <v>2.5</v>
      </c>
      <c r="H458" s="133">
        <v>3</v>
      </c>
      <c r="I458" s="133">
        <v>32</v>
      </c>
      <c r="J458" s="133">
        <v>6.75</v>
      </c>
      <c r="K458" s="133">
        <v>50</v>
      </c>
      <c r="L458" s="133">
        <v>3.3050000000000002</v>
      </c>
      <c r="M458" s="163">
        <v>127.7</v>
      </c>
      <c r="N458" s="38">
        <f>IF(CNC!C$14&gt;=L458,A458)</f>
        <v>457</v>
      </c>
      <c r="O458" s="25" t="b">
        <f>IF(CNC!C$15=I458,A458)</f>
        <v>0</v>
      </c>
      <c r="P458" s="25" t="b">
        <f>IF(CNC!C$16&lt;=J458,A458)</f>
        <v>0</v>
      </c>
      <c r="Q458" s="25" t="b">
        <f>IF(D458=CNC!AR$10,A458)</f>
        <v>0</v>
      </c>
      <c r="R458" s="25" t="b">
        <f t="shared" si="17"/>
        <v>0</v>
      </c>
    </row>
    <row r="459" spans="1:18" ht="17" customHeight="1">
      <c r="A459" s="4">
        <v>458</v>
      </c>
      <c r="B459" s="162">
        <v>1</v>
      </c>
      <c r="C459" s="162">
        <v>1</v>
      </c>
      <c r="D459" s="162">
        <v>2</v>
      </c>
      <c r="E459" s="133" t="s">
        <v>2200</v>
      </c>
      <c r="F459" s="133">
        <v>4</v>
      </c>
      <c r="G459" s="133">
        <v>2.5</v>
      </c>
      <c r="H459" s="133">
        <v>3</v>
      </c>
      <c r="I459" s="133">
        <v>32</v>
      </c>
      <c r="J459" s="133">
        <v>9.92</v>
      </c>
      <c r="K459" s="133">
        <v>50</v>
      </c>
      <c r="L459" s="133">
        <v>3.3050000000000002</v>
      </c>
      <c r="M459" s="163">
        <v>154.5</v>
      </c>
      <c r="N459" s="38">
        <f>IF(CNC!C$14&gt;=L459,A459)</f>
        <v>458</v>
      </c>
      <c r="O459" s="25" t="b">
        <f>IF(CNC!C$15=I459,A459)</f>
        <v>0</v>
      </c>
      <c r="P459" s="25" t="b">
        <f>IF(CNC!C$16&lt;=J459,A459)</f>
        <v>0</v>
      </c>
      <c r="Q459" s="25" t="b">
        <f>IF(D459=CNC!AR$10,A459)</f>
        <v>0</v>
      </c>
      <c r="R459" s="25" t="b">
        <f t="shared" si="17"/>
        <v>0</v>
      </c>
    </row>
    <row r="460" spans="1:18" ht="17" customHeight="1">
      <c r="A460" s="4">
        <v>459</v>
      </c>
      <c r="B460" s="162">
        <v>1</v>
      </c>
      <c r="C460" s="162">
        <v>1</v>
      </c>
      <c r="D460" s="162">
        <v>2</v>
      </c>
      <c r="E460" s="133" t="s">
        <v>2246</v>
      </c>
      <c r="F460" s="133">
        <v>4</v>
      </c>
      <c r="G460" s="133">
        <v>2.4</v>
      </c>
      <c r="H460" s="133">
        <v>3</v>
      </c>
      <c r="I460" s="133">
        <v>44</v>
      </c>
      <c r="J460" s="133">
        <v>7.22</v>
      </c>
      <c r="K460" s="133">
        <v>50</v>
      </c>
      <c r="L460" s="133">
        <v>2.9750000000000001</v>
      </c>
      <c r="M460" s="163">
        <v>154.5</v>
      </c>
      <c r="N460" s="38">
        <f>IF(CNC!C$14&gt;=L460,A460)</f>
        <v>459</v>
      </c>
      <c r="O460" s="25" t="b">
        <f>IF(CNC!C$15=I460,A460)</f>
        <v>0</v>
      </c>
      <c r="P460" s="25" t="b">
        <f>IF(CNC!C$16&lt;=J460,A460)</f>
        <v>0</v>
      </c>
      <c r="Q460" s="25" t="b">
        <f>IF(D460=CNC!AR$10,A460)</f>
        <v>0</v>
      </c>
      <c r="R460" s="25" t="b">
        <f t="shared" si="17"/>
        <v>0</v>
      </c>
    </row>
    <row r="461" spans="1:18" ht="17" customHeight="1">
      <c r="A461" s="4">
        <v>460</v>
      </c>
      <c r="B461" s="162">
        <v>1</v>
      </c>
      <c r="C461" s="162">
        <v>1</v>
      </c>
      <c r="D461" s="162">
        <v>2</v>
      </c>
      <c r="E461" s="133" t="s">
        <v>2201</v>
      </c>
      <c r="F461" s="133">
        <v>4</v>
      </c>
      <c r="G461" s="133">
        <v>2.4</v>
      </c>
      <c r="H461" s="133">
        <v>3</v>
      </c>
      <c r="I461" s="133">
        <v>44</v>
      </c>
      <c r="J461" s="133">
        <v>5.48</v>
      </c>
      <c r="K461" s="133">
        <v>50</v>
      </c>
      <c r="L461" s="133">
        <v>2.9750000000000001</v>
      </c>
      <c r="M461" s="163">
        <v>140.5</v>
      </c>
      <c r="N461" s="38">
        <f>IF(CNC!C$14&gt;=L461,A461)</f>
        <v>460</v>
      </c>
      <c r="O461" s="25" t="b">
        <f>IF(CNC!C$15=I461,A461)</f>
        <v>0</v>
      </c>
      <c r="P461" s="25" t="b">
        <f>IF(CNC!C$16&lt;=J461,A461)</f>
        <v>0</v>
      </c>
      <c r="Q461" s="25" t="b">
        <f>IF(D461=CNC!AR$10,A461)</f>
        <v>0</v>
      </c>
      <c r="R461" s="25" t="b">
        <f t="shared" si="17"/>
        <v>0</v>
      </c>
    </row>
    <row r="462" spans="1:18" ht="17" customHeight="1">
      <c r="A462" s="4">
        <v>461</v>
      </c>
      <c r="B462" s="162">
        <v>1</v>
      </c>
      <c r="C462" s="162">
        <v>1</v>
      </c>
      <c r="D462" s="162">
        <v>2</v>
      </c>
      <c r="E462" s="133" t="s">
        <v>2202</v>
      </c>
      <c r="F462" s="133">
        <v>4</v>
      </c>
      <c r="G462" s="133">
        <v>2.2999999999999998</v>
      </c>
      <c r="H462" s="133">
        <v>3</v>
      </c>
      <c r="I462" s="133">
        <v>40</v>
      </c>
      <c r="J462" s="133">
        <v>8.57</v>
      </c>
      <c r="K462" s="133">
        <v>50</v>
      </c>
      <c r="L462" s="133">
        <v>2.9750000000000001</v>
      </c>
      <c r="M462" s="163">
        <v>154.5</v>
      </c>
      <c r="N462" s="38">
        <f>IF(CNC!C$14&gt;=L462,A462)</f>
        <v>461</v>
      </c>
      <c r="O462" s="25" t="b">
        <f>IF(CNC!C$15=I462,A462)</f>
        <v>0</v>
      </c>
      <c r="P462" s="25" t="b">
        <f>IF(CNC!C$16&lt;=J462,A462)</f>
        <v>0</v>
      </c>
      <c r="Q462" s="25" t="b">
        <f>IF(D462=CNC!AR$10,A462)</f>
        <v>0</v>
      </c>
      <c r="R462" s="25" t="b">
        <f t="shared" si="17"/>
        <v>0</v>
      </c>
    </row>
    <row r="463" spans="1:18" ht="17" customHeight="1">
      <c r="A463" s="4">
        <v>462</v>
      </c>
      <c r="B463" s="162">
        <v>1</v>
      </c>
      <c r="C463" s="162">
        <v>1</v>
      </c>
      <c r="D463" s="162">
        <v>1</v>
      </c>
      <c r="E463" s="133" t="s">
        <v>2203</v>
      </c>
      <c r="F463" s="133">
        <v>4</v>
      </c>
      <c r="G463" s="133">
        <v>2.2999999999999998</v>
      </c>
      <c r="H463" s="133">
        <v>3</v>
      </c>
      <c r="I463" s="133">
        <v>0.5</v>
      </c>
      <c r="J463" s="133">
        <v>8.25</v>
      </c>
      <c r="K463" s="133">
        <v>50</v>
      </c>
      <c r="L463" s="133">
        <v>2.8</v>
      </c>
      <c r="M463" s="163">
        <v>154.5</v>
      </c>
      <c r="N463" s="38">
        <f>IF(CNC!C$14&gt;=L463,A463)</f>
        <v>462</v>
      </c>
      <c r="O463" s="25" t="b">
        <f>IF(CNC!C$15=I463,A463)</f>
        <v>0</v>
      </c>
      <c r="P463" s="25" t="b">
        <f>IF(CNC!C$16&lt;=J463,A463)</f>
        <v>0</v>
      </c>
      <c r="Q463" s="25">
        <f>IF(D463=CNC!AR$10,A463)</f>
        <v>462</v>
      </c>
      <c r="R463" s="25" t="b">
        <f t="shared" si="17"/>
        <v>0</v>
      </c>
    </row>
    <row r="464" spans="1:18" ht="17" customHeight="1">
      <c r="A464" s="4">
        <v>463</v>
      </c>
      <c r="B464" s="162">
        <v>1</v>
      </c>
      <c r="C464" s="162">
        <v>1</v>
      </c>
      <c r="D464" s="162">
        <v>2</v>
      </c>
      <c r="E464" s="133" t="s">
        <v>2204</v>
      </c>
      <c r="F464" s="133">
        <v>4</v>
      </c>
      <c r="G464" s="133">
        <v>2.2999999999999998</v>
      </c>
      <c r="H464" s="133">
        <v>3</v>
      </c>
      <c r="I464" s="133">
        <v>40</v>
      </c>
      <c r="J464" s="133">
        <v>7.3</v>
      </c>
      <c r="K464" s="133">
        <v>50</v>
      </c>
      <c r="L464" s="133">
        <v>2.9750000000000001</v>
      </c>
      <c r="M464" s="163">
        <v>140.5</v>
      </c>
      <c r="N464" s="38">
        <f>IF(CNC!C$14&gt;=L464,A464)</f>
        <v>463</v>
      </c>
      <c r="O464" s="25" t="b">
        <f>IF(CNC!C$15=I464,A464)</f>
        <v>0</v>
      </c>
      <c r="P464" s="25" t="b">
        <f>IF(CNC!C$16&lt;=J464,A464)</f>
        <v>0</v>
      </c>
      <c r="Q464" s="25" t="b">
        <f>IF(D464=CNC!AR$10,A464)</f>
        <v>0</v>
      </c>
      <c r="R464" s="25" t="b">
        <f t="shared" si="17"/>
        <v>0</v>
      </c>
    </row>
    <row r="465" spans="1:18" ht="17" customHeight="1">
      <c r="A465" s="4">
        <v>464</v>
      </c>
      <c r="B465" s="162">
        <v>1</v>
      </c>
      <c r="C465" s="162">
        <v>1</v>
      </c>
      <c r="D465" s="162">
        <v>1</v>
      </c>
      <c r="E465" s="133" t="s">
        <v>2205</v>
      </c>
      <c r="F465" s="133">
        <v>4</v>
      </c>
      <c r="G465" s="133">
        <v>2.2999999999999998</v>
      </c>
      <c r="H465" s="133">
        <v>3</v>
      </c>
      <c r="I465" s="133">
        <v>0.5</v>
      </c>
      <c r="J465" s="133">
        <v>6.75</v>
      </c>
      <c r="K465" s="133">
        <v>50</v>
      </c>
      <c r="L465" s="133">
        <v>2.8</v>
      </c>
      <c r="M465" s="163">
        <v>140.5</v>
      </c>
      <c r="N465" s="38">
        <f>IF(CNC!C$14&gt;=L465,A465)</f>
        <v>464</v>
      </c>
      <c r="O465" s="25" t="b">
        <f>IF(CNC!C$15=I465,A465)</f>
        <v>0</v>
      </c>
      <c r="P465" s="25" t="b">
        <f>IF(CNC!C$16&lt;=J465,A465)</f>
        <v>0</v>
      </c>
      <c r="Q465" s="25">
        <f>IF(D465=CNC!AR$10,A465)</f>
        <v>464</v>
      </c>
      <c r="R465" s="25" t="b">
        <f t="shared" si="17"/>
        <v>0</v>
      </c>
    </row>
    <row r="466" spans="1:18" ht="17" customHeight="1">
      <c r="A466" s="4">
        <v>465</v>
      </c>
      <c r="B466" s="162">
        <v>1</v>
      </c>
      <c r="C466" s="162">
        <v>1</v>
      </c>
      <c r="D466" s="162">
        <v>2</v>
      </c>
      <c r="E466" s="133" t="s">
        <v>2206</v>
      </c>
      <c r="F466" s="133">
        <v>4</v>
      </c>
      <c r="G466" s="133">
        <v>2.2999999999999998</v>
      </c>
      <c r="H466" s="133">
        <v>3</v>
      </c>
      <c r="I466" s="133">
        <v>40</v>
      </c>
      <c r="J466" s="133">
        <v>5.4</v>
      </c>
      <c r="K466" s="133">
        <v>50</v>
      </c>
      <c r="L466" s="133">
        <v>2.9750000000000001</v>
      </c>
      <c r="M466" s="163">
        <v>127.7</v>
      </c>
      <c r="N466" s="38">
        <f>IF(CNC!C$14&gt;=L466,A466)</f>
        <v>465</v>
      </c>
      <c r="O466" s="25" t="b">
        <f>IF(CNC!C$15=I466,A466)</f>
        <v>0</v>
      </c>
      <c r="P466" s="25" t="b">
        <f>IF(CNC!C$16&lt;=J466,A466)</f>
        <v>0</v>
      </c>
      <c r="Q466" s="25" t="b">
        <f>IF(D466=CNC!AR$10,A466)</f>
        <v>0</v>
      </c>
      <c r="R466" s="25" t="b">
        <f t="shared" si="17"/>
        <v>0</v>
      </c>
    </row>
    <row r="467" spans="1:18" ht="17" customHeight="1">
      <c r="A467" s="4">
        <v>466</v>
      </c>
      <c r="B467" s="162">
        <v>1</v>
      </c>
      <c r="C467" s="162">
        <v>1</v>
      </c>
      <c r="D467" s="162">
        <v>1</v>
      </c>
      <c r="E467" s="133" t="s">
        <v>2207</v>
      </c>
      <c r="F467" s="133">
        <v>4</v>
      </c>
      <c r="G467" s="133">
        <v>2.2999999999999998</v>
      </c>
      <c r="H467" s="133">
        <v>3</v>
      </c>
      <c r="I467" s="133">
        <v>0.5</v>
      </c>
      <c r="J467" s="133">
        <v>5.25</v>
      </c>
      <c r="K467" s="133">
        <v>50</v>
      </c>
      <c r="L467" s="133">
        <v>2.8</v>
      </c>
      <c r="M467" s="163">
        <v>127.7</v>
      </c>
      <c r="N467" s="38">
        <f>IF(CNC!C$14&gt;=L467,A467)</f>
        <v>466</v>
      </c>
      <c r="O467" s="25" t="b">
        <f>IF(CNC!C$15=I467,A467)</f>
        <v>0</v>
      </c>
      <c r="P467" s="25" t="b">
        <f>IF(CNC!C$16&lt;=J467,A467)</f>
        <v>0</v>
      </c>
      <c r="Q467" s="25">
        <f>IF(D467=CNC!AR$10,A467)</f>
        <v>466</v>
      </c>
      <c r="R467" s="25" t="b">
        <f t="shared" si="17"/>
        <v>0</v>
      </c>
    </row>
    <row r="468" spans="1:18" ht="17" customHeight="1">
      <c r="A468" s="4">
        <v>467</v>
      </c>
      <c r="B468" s="162">
        <v>1</v>
      </c>
      <c r="C468" s="162">
        <v>1</v>
      </c>
      <c r="D468" s="162">
        <v>2</v>
      </c>
      <c r="E468" s="133" t="s">
        <v>2245</v>
      </c>
      <c r="F468" s="133">
        <v>4</v>
      </c>
      <c r="G468" s="133">
        <v>2.1</v>
      </c>
      <c r="H468" s="133">
        <v>3</v>
      </c>
      <c r="I468" s="133">
        <v>48</v>
      </c>
      <c r="J468" s="133">
        <v>6.61</v>
      </c>
      <c r="K468" s="133">
        <v>50</v>
      </c>
      <c r="L468" s="133">
        <v>2.645</v>
      </c>
      <c r="M468" s="163">
        <v>154.5</v>
      </c>
      <c r="N468" s="38">
        <f>IF(CNC!C$14&gt;=L468,A468)</f>
        <v>467</v>
      </c>
      <c r="O468" s="25" t="b">
        <f>IF(CNC!C$15=I468,A468)</f>
        <v>0</v>
      </c>
      <c r="P468" s="25" t="b">
        <f>IF(CNC!C$16&lt;=J468,A468)</f>
        <v>0</v>
      </c>
      <c r="Q468" s="25" t="b">
        <f>IF(D468=CNC!AR$10,A468)</f>
        <v>0</v>
      </c>
      <c r="R468" s="25" t="b">
        <f t="shared" si="17"/>
        <v>0</v>
      </c>
    </row>
    <row r="469" spans="1:18" ht="17" customHeight="1">
      <c r="A469" s="4">
        <v>468</v>
      </c>
      <c r="B469" s="162">
        <v>1</v>
      </c>
      <c r="C469" s="162">
        <v>1</v>
      </c>
      <c r="D469" s="162">
        <v>2</v>
      </c>
      <c r="E469" s="133" t="s">
        <v>2248</v>
      </c>
      <c r="F469" s="133">
        <v>4</v>
      </c>
      <c r="G469" s="133">
        <v>2.1</v>
      </c>
      <c r="H469" s="133">
        <v>3</v>
      </c>
      <c r="I469" s="133">
        <v>40</v>
      </c>
      <c r="J469" s="133">
        <v>6.67</v>
      </c>
      <c r="K469" s="133">
        <v>50</v>
      </c>
      <c r="L469" s="133">
        <v>2.645</v>
      </c>
      <c r="M469" s="163">
        <v>140.5</v>
      </c>
      <c r="N469" s="38">
        <f>IF(CNC!C$14&gt;=L469,A469)</f>
        <v>468</v>
      </c>
      <c r="O469" s="25" t="b">
        <f>IF(CNC!C$15=I469,A469)</f>
        <v>0</v>
      </c>
      <c r="P469" s="25" t="b">
        <f>IF(CNC!C$16&lt;=J469,A469)</f>
        <v>0</v>
      </c>
      <c r="Q469" s="25" t="b">
        <f>IF(D469=CNC!AR$10,A469)</f>
        <v>0</v>
      </c>
      <c r="R469" s="25" t="b">
        <f t="shared" si="17"/>
        <v>0</v>
      </c>
    </row>
    <row r="470" spans="1:18" ht="17" customHeight="1">
      <c r="A470" s="4">
        <v>469</v>
      </c>
      <c r="B470" s="162">
        <v>1</v>
      </c>
      <c r="C470" s="162">
        <v>1</v>
      </c>
      <c r="D470" s="162">
        <v>2</v>
      </c>
      <c r="E470" s="133" t="s">
        <v>2244</v>
      </c>
      <c r="F470" s="133">
        <v>4</v>
      </c>
      <c r="G470" s="133">
        <v>2.1</v>
      </c>
      <c r="H470" s="133">
        <v>3</v>
      </c>
      <c r="I470" s="133">
        <v>48</v>
      </c>
      <c r="J470" s="133">
        <v>5.03</v>
      </c>
      <c r="K470" s="133">
        <v>50</v>
      </c>
      <c r="L470" s="133">
        <v>2.645</v>
      </c>
      <c r="M470" s="163">
        <v>140.5</v>
      </c>
      <c r="N470" s="38">
        <f>IF(CNC!C$14&gt;=L470,A470)</f>
        <v>469</v>
      </c>
      <c r="O470" s="25" t="b">
        <f>IF(CNC!C$15=I470,A470)</f>
        <v>0</v>
      </c>
      <c r="P470" s="25" t="b">
        <f>IF(CNC!C$16&lt;=J470,A470)</f>
        <v>0</v>
      </c>
      <c r="Q470" s="25" t="b">
        <f>IF(D470=CNC!AR$10,A470)</f>
        <v>0</v>
      </c>
      <c r="R470" s="25" t="b">
        <f t="shared" si="17"/>
        <v>0</v>
      </c>
    </row>
    <row r="471" spans="1:18" ht="17" customHeight="1">
      <c r="A471" s="4">
        <v>470</v>
      </c>
      <c r="B471" s="162">
        <v>1</v>
      </c>
      <c r="C471" s="162">
        <v>1</v>
      </c>
      <c r="D471" s="162">
        <v>2</v>
      </c>
      <c r="E471" s="133" t="s">
        <v>2247</v>
      </c>
      <c r="F471" s="133">
        <v>4</v>
      </c>
      <c r="G471" s="133">
        <v>2.1</v>
      </c>
      <c r="H471" s="133">
        <v>3</v>
      </c>
      <c r="I471" s="133">
        <v>40</v>
      </c>
      <c r="J471" s="133">
        <v>5.4</v>
      </c>
      <c r="K471" s="133">
        <v>50</v>
      </c>
      <c r="L471" s="133">
        <v>2.645</v>
      </c>
      <c r="M471" s="163">
        <v>127.7</v>
      </c>
      <c r="N471" s="38">
        <f>IF(CNC!C$14&gt;=L471,A471)</f>
        <v>470</v>
      </c>
      <c r="O471" s="25" t="b">
        <f>IF(CNC!C$15=I471,A471)</f>
        <v>0</v>
      </c>
      <c r="P471" s="25" t="b">
        <f>IF(CNC!C$16&lt;=J471,A471)</f>
        <v>0</v>
      </c>
      <c r="Q471" s="25" t="b">
        <f>IF(D471=CNC!AR$10,A471)</f>
        <v>0</v>
      </c>
      <c r="R471" s="25" t="b">
        <f t="shared" si="17"/>
        <v>0</v>
      </c>
    </row>
    <row r="472" spans="1:18" ht="17" customHeight="1">
      <c r="A472" s="4">
        <v>471</v>
      </c>
      <c r="B472" s="162">
        <v>1</v>
      </c>
      <c r="C472" s="162">
        <v>1</v>
      </c>
      <c r="D472" s="162">
        <v>2</v>
      </c>
      <c r="E472" s="133" t="s">
        <v>2241</v>
      </c>
      <c r="F472" s="133">
        <v>4</v>
      </c>
      <c r="G472" s="133">
        <v>1.9</v>
      </c>
      <c r="H472" s="133">
        <v>3</v>
      </c>
      <c r="I472" s="133">
        <v>56</v>
      </c>
      <c r="J472" s="133">
        <v>5.67</v>
      </c>
      <c r="K472" s="133">
        <v>50</v>
      </c>
      <c r="L472" s="133">
        <v>2.3149999999999999</v>
      </c>
      <c r="M472" s="163">
        <v>154.5</v>
      </c>
      <c r="N472" s="38">
        <f>IF(CNC!C$14&gt;=L472,A472)</f>
        <v>471</v>
      </c>
      <c r="O472" s="25" t="b">
        <f>IF(CNC!C$15=I472,A472)</f>
        <v>0</v>
      </c>
      <c r="P472" s="25" t="b">
        <f>IF(CNC!C$16&lt;=J472,A472)</f>
        <v>0</v>
      </c>
      <c r="Q472" s="25" t="b">
        <f>IF(D472=CNC!AR$10,A472)</f>
        <v>0</v>
      </c>
      <c r="R472" s="25" t="b">
        <f t="shared" si="17"/>
        <v>0</v>
      </c>
    </row>
    <row r="473" spans="1:18" ht="17" customHeight="1">
      <c r="A473" s="4">
        <v>472</v>
      </c>
      <c r="B473" s="162">
        <v>1</v>
      </c>
      <c r="C473" s="162">
        <v>1</v>
      </c>
      <c r="D473" s="162">
        <v>2</v>
      </c>
      <c r="E473" s="133" t="s">
        <v>2243</v>
      </c>
      <c r="F473" s="133">
        <v>4</v>
      </c>
      <c r="G473" s="133">
        <v>1.9</v>
      </c>
      <c r="H473" s="133">
        <v>3</v>
      </c>
      <c r="I473" s="133">
        <v>48</v>
      </c>
      <c r="J473" s="133">
        <v>5.56</v>
      </c>
      <c r="K473" s="133">
        <v>50</v>
      </c>
      <c r="L473" s="133">
        <v>2.3149999999999999</v>
      </c>
      <c r="M473" s="163">
        <v>140.5</v>
      </c>
      <c r="N473" s="38">
        <f>IF(CNC!C$14&gt;=L473,A473)</f>
        <v>472</v>
      </c>
      <c r="O473" s="25" t="b">
        <f>IF(CNC!C$15=I473,A473)</f>
        <v>0</v>
      </c>
      <c r="P473" s="25" t="b">
        <f>IF(CNC!C$16&lt;=J473,A473)</f>
        <v>0</v>
      </c>
      <c r="Q473" s="25" t="b">
        <f>IF(D473=CNC!AR$10,A473)</f>
        <v>0</v>
      </c>
      <c r="R473" s="25" t="b">
        <f t="shared" si="17"/>
        <v>0</v>
      </c>
    </row>
    <row r="474" spans="1:18" ht="17" customHeight="1">
      <c r="A474" s="4">
        <v>473</v>
      </c>
      <c r="B474" s="162">
        <v>1</v>
      </c>
      <c r="C474" s="162">
        <v>1</v>
      </c>
      <c r="D474" s="162">
        <v>1</v>
      </c>
      <c r="E474" s="133" t="s">
        <v>2208</v>
      </c>
      <c r="F474" s="133">
        <v>4</v>
      </c>
      <c r="G474" s="133">
        <v>1.9</v>
      </c>
      <c r="H474" s="133">
        <v>3</v>
      </c>
      <c r="I474" s="133">
        <v>0.45</v>
      </c>
      <c r="J474" s="133">
        <v>5.62</v>
      </c>
      <c r="K474" s="133">
        <v>50</v>
      </c>
      <c r="L474" s="133">
        <v>2.2999999999999998</v>
      </c>
      <c r="M474" s="163">
        <v>140.5</v>
      </c>
      <c r="N474" s="38">
        <f>IF(CNC!C$14&gt;=L474,A474)</f>
        <v>473</v>
      </c>
      <c r="O474" s="25" t="b">
        <f>IF(CNC!C$15=I474,A474)</f>
        <v>0</v>
      </c>
      <c r="P474" s="25" t="b">
        <f>IF(CNC!C$16&lt;=J474,A474)</f>
        <v>0</v>
      </c>
      <c r="Q474" s="25">
        <f>IF(D474=CNC!AR$10,A474)</f>
        <v>473</v>
      </c>
      <c r="R474" s="25" t="b">
        <f t="shared" si="17"/>
        <v>0</v>
      </c>
    </row>
    <row r="475" spans="1:18" ht="17" customHeight="1">
      <c r="A475" s="4">
        <v>474</v>
      </c>
      <c r="B475" s="162">
        <v>1</v>
      </c>
      <c r="C475" s="162">
        <v>1</v>
      </c>
      <c r="D475" s="162">
        <v>2</v>
      </c>
      <c r="E475" s="133" t="s">
        <v>2240</v>
      </c>
      <c r="F475" s="133">
        <v>4</v>
      </c>
      <c r="G475" s="133">
        <v>1.9</v>
      </c>
      <c r="H475" s="133">
        <v>3</v>
      </c>
      <c r="I475" s="133">
        <v>56</v>
      </c>
      <c r="J475" s="133">
        <v>4.3099999999999996</v>
      </c>
      <c r="K475" s="133">
        <v>50</v>
      </c>
      <c r="L475" s="133">
        <v>2.3149999999999999</v>
      </c>
      <c r="M475" s="163">
        <v>140.5</v>
      </c>
      <c r="N475" s="38">
        <f>IF(CNC!C$14&gt;=L475,A475)</f>
        <v>474</v>
      </c>
      <c r="O475" s="25" t="b">
        <f>IF(CNC!C$15=I475,A475)</f>
        <v>0</v>
      </c>
      <c r="P475" s="25" t="b">
        <f>IF(CNC!C$16&lt;=J475,A475)</f>
        <v>0</v>
      </c>
      <c r="Q475" s="25" t="b">
        <f>IF(D475=CNC!AR$10,A475)</f>
        <v>0</v>
      </c>
      <c r="R475" s="25" t="b">
        <f t="shared" si="17"/>
        <v>0</v>
      </c>
    </row>
    <row r="476" spans="1:18" ht="17" customHeight="1">
      <c r="A476" s="4">
        <v>475</v>
      </c>
      <c r="B476" s="162">
        <v>1</v>
      </c>
      <c r="C476" s="162">
        <v>1</v>
      </c>
      <c r="D476" s="162">
        <v>2</v>
      </c>
      <c r="E476" s="133" t="s">
        <v>2242</v>
      </c>
      <c r="F476" s="133">
        <v>4</v>
      </c>
      <c r="G476" s="133">
        <v>1.9</v>
      </c>
      <c r="H476" s="133">
        <v>3</v>
      </c>
      <c r="I476" s="133">
        <v>48</v>
      </c>
      <c r="J476" s="133">
        <v>4.5</v>
      </c>
      <c r="K476" s="133">
        <v>50</v>
      </c>
      <c r="L476" s="133">
        <v>2.3149999999999999</v>
      </c>
      <c r="M476" s="163">
        <v>127.7</v>
      </c>
      <c r="N476" s="38">
        <f>IF(CNC!C$14&gt;=L476,A476)</f>
        <v>475</v>
      </c>
      <c r="O476" s="25" t="b">
        <f>IF(CNC!C$15=I476,A476)</f>
        <v>0</v>
      </c>
      <c r="P476" s="25" t="b">
        <f>IF(CNC!C$16&lt;=J476,A476)</f>
        <v>0</v>
      </c>
      <c r="Q476" s="25" t="b">
        <f>IF(D476=CNC!AR$10,A476)</f>
        <v>0</v>
      </c>
      <c r="R476" s="25" t="b">
        <f t="shared" si="17"/>
        <v>0</v>
      </c>
    </row>
    <row r="477" spans="1:18" ht="17" customHeight="1">
      <c r="A477" s="4">
        <v>476</v>
      </c>
      <c r="B477" s="162">
        <v>1</v>
      </c>
      <c r="C477" s="162">
        <v>1</v>
      </c>
      <c r="D477" s="162">
        <v>1</v>
      </c>
      <c r="E477" s="133" t="s">
        <v>2209</v>
      </c>
      <c r="F477" s="133">
        <v>4</v>
      </c>
      <c r="G477" s="133">
        <v>1.9</v>
      </c>
      <c r="H477" s="133">
        <v>3</v>
      </c>
      <c r="I477" s="133">
        <v>0.45</v>
      </c>
      <c r="J477" s="133">
        <v>4.2699999999999996</v>
      </c>
      <c r="K477" s="133">
        <v>50</v>
      </c>
      <c r="L477" s="133">
        <v>2.2999999999999998</v>
      </c>
      <c r="M477" s="163">
        <v>127.7</v>
      </c>
      <c r="N477" s="38">
        <f>IF(CNC!C$14&gt;=L477,A477)</f>
        <v>476</v>
      </c>
      <c r="O477" s="25" t="b">
        <f>IF(CNC!C$15=I477,A477)</f>
        <v>0</v>
      </c>
      <c r="P477" s="25" t="b">
        <f>IF(CNC!C$16&lt;=J477,A477)</f>
        <v>0</v>
      </c>
      <c r="Q477" s="25">
        <f>IF(D477=CNC!AR$10,A477)</f>
        <v>476</v>
      </c>
      <c r="R477" s="25" t="b">
        <f t="shared" si="17"/>
        <v>0</v>
      </c>
    </row>
    <row r="478" spans="1:18" ht="17" customHeight="1">
      <c r="A478" s="4">
        <v>477</v>
      </c>
      <c r="B478" s="162">
        <v>1</v>
      </c>
      <c r="C478" s="162">
        <v>1</v>
      </c>
      <c r="D478" s="162">
        <v>2</v>
      </c>
      <c r="E478" s="133" t="s">
        <v>2237</v>
      </c>
      <c r="F478" s="133">
        <v>4</v>
      </c>
      <c r="G478" s="133">
        <v>1.7</v>
      </c>
      <c r="H478" s="133">
        <v>3</v>
      </c>
      <c r="I478" s="133">
        <v>64</v>
      </c>
      <c r="J478" s="133">
        <v>4.96</v>
      </c>
      <c r="K478" s="133">
        <v>50</v>
      </c>
      <c r="L478" s="133">
        <v>1.984</v>
      </c>
      <c r="M478" s="163">
        <v>154.5</v>
      </c>
      <c r="N478" s="38">
        <f>IF(CNC!C$14&gt;=L478,A478)</f>
        <v>477</v>
      </c>
      <c r="O478" s="25" t="b">
        <f>IF(CNC!C$15=I478,A478)</f>
        <v>0</v>
      </c>
      <c r="P478" s="25" t="b">
        <f>IF(CNC!C$16&lt;=J478,A478)</f>
        <v>0</v>
      </c>
      <c r="Q478" s="25" t="b">
        <f>IF(D478=CNC!AR$10,A478)</f>
        <v>0</v>
      </c>
      <c r="R478" s="25" t="b">
        <f t="shared" si="17"/>
        <v>0</v>
      </c>
    </row>
    <row r="479" spans="1:18" ht="17" customHeight="1">
      <c r="A479" s="4">
        <v>478</v>
      </c>
      <c r="B479" s="162">
        <v>1</v>
      </c>
      <c r="C479" s="162">
        <v>1</v>
      </c>
      <c r="D479" s="162">
        <v>2</v>
      </c>
      <c r="E479" s="133" t="s">
        <v>2236</v>
      </c>
      <c r="F479" s="133">
        <v>4</v>
      </c>
      <c r="G479" s="133">
        <v>1.7</v>
      </c>
      <c r="H479" s="133">
        <v>3</v>
      </c>
      <c r="I479" s="133">
        <v>64</v>
      </c>
      <c r="J479" s="133">
        <v>3.77</v>
      </c>
      <c r="K479" s="133">
        <v>50</v>
      </c>
      <c r="L479" s="133">
        <v>1.984</v>
      </c>
      <c r="M479" s="163">
        <v>140.5</v>
      </c>
      <c r="N479" s="38">
        <f>IF(CNC!C$14&gt;=L479,A479)</f>
        <v>478</v>
      </c>
      <c r="O479" s="25" t="b">
        <f>IF(CNC!C$15=I479,A479)</f>
        <v>0</v>
      </c>
      <c r="P479" s="25" t="b">
        <f>IF(CNC!C$16&lt;=J479,A479)</f>
        <v>0</v>
      </c>
      <c r="Q479" s="25" t="b">
        <f>IF(D479=CNC!AR$10,A479)</f>
        <v>0</v>
      </c>
      <c r="R479" s="25" t="b">
        <f t="shared" si="17"/>
        <v>0</v>
      </c>
    </row>
    <row r="480" spans="1:18" ht="17" customHeight="1">
      <c r="A480" s="4">
        <v>479</v>
      </c>
      <c r="B480" s="162">
        <v>1</v>
      </c>
      <c r="C480" s="162">
        <v>1</v>
      </c>
      <c r="D480" s="162">
        <v>2</v>
      </c>
      <c r="E480" s="133" t="s">
        <v>2239</v>
      </c>
      <c r="F480" s="133">
        <v>4</v>
      </c>
      <c r="G480" s="133">
        <v>1.6</v>
      </c>
      <c r="H480" s="133">
        <v>3</v>
      </c>
      <c r="I480" s="133">
        <v>56</v>
      </c>
      <c r="J480" s="133">
        <v>5.22</v>
      </c>
      <c r="K480" s="133">
        <v>50</v>
      </c>
      <c r="L480" s="133">
        <v>1.984</v>
      </c>
      <c r="M480" s="163">
        <v>140.5</v>
      </c>
      <c r="N480" s="38">
        <f>IF(CNC!C$14&gt;=L480,A480)</f>
        <v>479</v>
      </c>
      <c r="O480" s="25" t="b">
        <f>IF(CNC!C$15=I480,A480)</f>
        <v>0</v>
      </c>
      <c r="P480" s="25" t="b">
        <f>IF(CNC!C$16&lt;=J480,A480)</f>
        <v>0</v>
      </c>
      <c r="Q480" s="25" t="b">
        <f>IF(D480=CNC!AR$10,A480)</f>
        <v>0</v>
      </c>
      <c r="R480" s="25" t="b">
        <f t="shared" si="17"/>
        <v>0</v>
      </c>
    </row>
    <row r="481" spans="1:18" ht="17" customHeight="1">
      <c r="A481" s="4">
        <v>480</v>
      </c>
      <c r="B481" s="162">
        <v>1</v>
      </c>
      <c r="C481" s="162">
        <v>1</v>
      </c>
      <c r="D481" s="162">
        <v>1</v>
      </c>
      <c r="E481" s="133" t="s">
        <v>2210</v>
      </c>
      <c r="F481" s="133">
        <v>4</v>
      </c>
      <c r="G481" s="133">
        <v>1.6</v>
      </c>
      <c r="H481" s="133">
        <v>3</v>
      </c>
      <c r="I481" s="133">
        <v>0.45</v>
      </c>
      <c r="J481" s="133">
        <v>5.17</v>
      </c>
      <c r="K481" s="133">
        <v>50</v>
      </c>
      <c r="L481" s="133">
        <v>2</v>
      </c>
      <c r="M481" s="163">
        <v>140.5</v>
      </c>
      <c r="N481" s="38">
        <f>IF(CNC!C$14&gt;=L481,A481)</f>
        <v>480</v>
      </c>
      <c r="O481" s="25" t="b">
        <f>IF(CNC!C$15=I481,A481)</f>
        <v>0</v>
      </c>
      <c r="P481" s="25" t="b">
        <f>IF(CNC!C$16&lt;=J481,A481)</f>
        <v>0</v>
      </c>
      <c r="Q481" s="25">
        <f>IF(D481=CNC!AR$10,A481)</f>
        <v>480</v>
      </c>
      <c r="R481" s="25" t="b">
        <f t="shared" si="17"/>
        <v>0</v>
      </c>
    </row>
    <row r="482" spans="1:18" ht="17" customHeight="1">
      <c r="A482" s="4">
        <v>481</v>
      </c>
      <c r="B482" s="162">
        <v>1</v>
      </c>
      <c r="C482" s="162">
        <v>1</v>
      </c>
      <c r="D482" s="162">
        <v>2</v>
      </c>
      <c r="E482" s="133" t="s">
        <v>2238</v>
      </c>
      <c r="F482" s="133">
        <v>4</v>
      </c>
      <c r="G482" s="133">
        <v>1.6</v>
      </c>
      <c r="H482" s="133">
        <v>3</v>
      </c>
      <c r="I482" s="133">
        <v>56</v>
      </c>
      <c r="J482" s="133">
        <v>3.86</v>
      </c>
      <c r="K482" s="133">
        <v>50</v>
      </c>
      <c r="L482" s="133">
        <v>1.984</v>
      </c>
      <c r="M482" s="163">
        <v>127.7</v>
      </c>
      <c r="N482" s="38">
        <f>IF(CNC!C$14&gt;=L482,A482)</f>
        <v>481</v>
      </c>
      <c r="O482" s="25" t="b">
        <f>IF(CNC!C$15=I482,A482)</f>
        <v>0</v>
      </c>
      <c r="P482" s="25" t="b">
        <f>IF(CNC!C$16&lt;=J482,A482)</f>
        <v>0</v>
      </c>
      <c r="Q482" s="25" t="b">
        <f>IF(D482=CNC!AR$10,A482)</f>
        <v>0</v>
      </c>
      <c r="R482" s="25" t="b">
        <f t="shared" si="17"/>
        <v>0</v>
      </c>
    </row>
    <row r="483" spans="1:18" ht="17" customHeight="1">
      <c r="A483" s="4">
        <v>482</v>
      </c>
      <c r="B483" s="162">
        <v>1</v>
      </c>
      <c r="C483" s="162">
        <v>1</v>
      </c>
      <c r="D483" s="162">
        <v>1</v>
      </c>
      <c r="E483" s="133" t="s">
        <v>2211</v>
      </c>
      <c r="F483" s="133">
        <v>4</v>
      </c>
      <c r="G483" s="133">
        <v>1.6</v>
      </c>
      <c r="H483" s="133">
        <v>3</v>
      </c>
      <c r="I483" s="133">
        <v>0.45</v>
      </c>
      <c r="J483" s="133">
        <v>3.82</v>
      </c>
      <c r="K483" s="133">
        <v>50</v>
      </c>
      <c r="L483" s="133">
        <v>2</v>
      </c>
      <c r="M483" s="163">
        <v>127.7</v>
      </c>
      <c r="N483" s="38">
        <f>IF(CNC!C$14&gt;=L483,A483)</f>
        <v>482</v>
      </c>
      <c r="O483" s="25" t="b">
        <f>IF(CNC!C$15=I483,A483)</f>
        <v>0</v>
      </c>
      <c r="P483" s="25" t="b">
        <f>IF(CNC!C$16&lt;=J483,A483)</f>
        <v>0</v>
      </c>
      <c r="Q483" s="25">
        <f>IF(D483=CNC!AR$10,A483)</f>
        <v>482</v>
      </c>
      <c r="R483" s="25" t="b">
        <f t="shared" si="17"/>
        <v>0</v>
      </c>
    </row>
    <row r="484" spans="1:18" ht="17" customHeight="1">
      <c r="A484" s="4">
        <v>483</v>
      </c>
      <c r="B484" s="162">
        <v>1</v>
      </c>
      <c r="C484" s="162">
        <v>1</v>
      </c>
      <c r="D484" s="162">
        <v>1</v>
      </c>
      <c r="E484" s="133" t="s">
        <v>2212</v>
      </c>
      <c r="F484" s="133">
        <v>4</v>
      </c>
      <c r="G484" s="133">
        <v>1.5</v>
      </c>
      <c r="H484" s="133">
        <v>3</v>
      </c>
      <c r="I484" s="133">
        <v>0.4</v>
      </c>
      <c r="J484" s="133">
        <v>4.5999999999999996</v>
      </c>
      <c r="K484" s="133">
        <v>50</v>
      </c>
      <c r="L484" s="133">
        <v>1.8</v>
      </c>
      <c r="M484" s="163">
        <v>140.5</v>
      </c>
      <c r="N484" s="38">
        <f>IF(CNC!C$14&gt;=L484,A484)</f>
        <v>483</v>
      </c>
      <c r="O484" s="25" t="b">
        <f>IF(CNC!C$15=I484,A484)</f>
        <v>0</v>
      </c>
      <c r="P484" s="25" t="b">
        <f>IF(CNC!C$16&lt;=J484,A484)</f>
        <v>0</v>
      </c>
      <c r="Q484" s="25">
        <f>IF(D484=CNC!AR$10,A484)</f>
        <v>483</v>
      </c>
      <c r="R484" s="25" t="b">
        <f t="shared" si="17"/>
        <v>0</v>
      </c>
    </row>
    <row r="485" spans="1:18" ht="17" customHeight="1">
      <c r="A485" s="4">
        <v>484</v>
      </c>
      <c r="B485" s="162">
        <v>1</v>
      </c>
      <c r="C485" s="162">
        <v>1</v>
      </c>
      <c r="D485" s="162">
        <v>1</v>
      </c>
      <c r="E485" s="133" t="s">
        <v>2213</v>
      </c>
      <c r="F485" s="133">
        <v>4</v>
      </c>
      <c r="G485" s="133">
        <v>1.5</v>
      </c>
      <c r="H485" s="133">
        <v>3</v>
      </c>
      <c r="I485" s="133">
        <v>0.4</v>
      </c>
      <c r="J485" s="133">
        <v>3.4</v>
      </c>
      <c r="K485" s="133">
        <v>50</v>
      </c>
      <c r="L485" s="133">
        <v>1.8</v>
      </c>
      <c r="M485" s="163">
        <v>127.7</v>
      </c>
      <c r="N485" s="38">
        <f>IF(CNC!C$14&gt;=L485,A485)</f>
        <v>484</v>
      </c>
      <c r="O485" s="25" t="b">
        <f>IF(CNC!C$15=I485,A485)</f>
        <v>0</v>
      </c>
      <c r="P485" s="25" t="b">
        <f>IF(CNC!C$16&lt;=J485,A485)</f>
        <v>0</v>
      </c>
      <c r="Q485" s="25">
        <f>IF(D485=CNC!AR$10,A485)</f>
        <v>484</v>
      </c>
      <c r="R485" s="25" t="b">
        <f t="shared" si="17"/>
        <v>0</v>
      </c>
    </row>
    <row r="486" spans="1:18" ht="17" customHeight="1">
      <c r="A486" s="4">
        <v>485</v>
      </c>
      <c r="B486" s="162">
        <v>1</v>
      </c>
      <c r="C486" s="162"/>
      <c r="D486" s="162"/>
      <c r="E486" s="133" t="s">
        <v>2227</v>
      </c>
      <c r="F486" s="133">
        <v>16</v>
      </c>
      <c r="G486" s="133">
        <v>16</v>
      </c>
      <c r="H486" s="133">
        <v>5</v>
      </c>
      <c r="I486" s="133"/>
      <c r="J486" s="133">
        <v>35</v>
      </c>
      <c r="K486" s="133">
        <v>100</v>
      </c>
      <c r="L486" s="133"/>
      <c r="M486" s="163">
        <v>488</v>
      </c>
      <c r="N486" s="38">
        <f>IF(CNC!C$14&gt;=L486,A486)</f>
        <v>485</v>
      </c>
      <c r="O486" s="25" t="b">
        <f>IF(CNC!C$15=I486,A486)</f>
        <v>0</v>
      </c>
      <c r="P486" s="25">
        <f>IF(CNC!C$16&lt;=J486,A486)</f>
        <v>485</v>
      </c>
      <c r="Q486" s="25" t="b">
        <f>IF(D486=CNC!AR$10,A486)</f>
        <v>0</v>
      </c>
      <c r="R486" s="25" t="b">
        <f t="shared" si="17"/>
        <v>0</v>
      </c>
    </row>
    <row r="487" spans="1:18" ht="17" customHeight="1">
      <c r="A487" s="4">
        <v>486</v>
      </c>
      <c r="B487" s="162">
        <v>1</v>
      </c>
      <c r="C487" s="162"/>
      <c r="D487" s="162"/>
      <c r="E487" s="133" t="s">
        <v>2228</v>
      </c>
      <c r="F487" s="133">
        <v>12</v>
      </c>
      <c r="G487" s="133">
        <v>12</v>
      </c>
      <c r="H487" s="133">
        <v>5</v>
      </c>
      <c r="I487" s="133"/>
      <c r="J487" s="133">
        <v>26.25</v>
      </c>
      <c r="K487" s="133">
        <v>83</v>
      </c>
      <c r="L487" s="133"/>
      <c r="M487" s="163">
        <v>339.2</v>
      </c>
      <c r="N487" s="38">
        <f>IF(CNC!C$14&gt;=L487,A487)</f>
        <v>486</v>
      </c>
      <c r="O487" s="25" t="b">
        <f>IF(CNC!C$15=I487,A487)</f>
        <v>0</v>
      </c>
      <c r="P487" s="25">
        <f>IF(CNC!C$16&lt;=J487,A487)</f>
        <v>486</v>
      </c>
      <c r="Q487" s="25" t="b">
        <f>IF(D487=CNC!AR$10,A487)</f>
        <v>0</v>
      </c>
      <c r="R487" s="25" t="b">
        <f t="shared" si="17"/>
        <v>0</v>
      </c>
    </row>
    <row r="488" spans="1:18" ht="17" customHeight="1">
      <c r="A488" s="4">
        <v>487</v>
      </c>
      <c r="B488" s="162">
        <v>1</v>
      </c>
      <c r="C488" s="162"/>
      <c r="D488" s="162"/>
      <c r="E488" s="133" t="s">
        <v>2229</v>
      </c>
      <c r="F488" s="133">
        <v>10</v>
      </c>
      <c r="G488" s="133">
        <v>10</v>
      </c>
      <c r="H488" s="133">
        <v>5</v>
      </c>
      <c r="I488" s="133"/>
      <c r="J488" s="133">
        <v>21.5</v>
      </c>
      <c r="K488" s="133">
        <v>76</v>
      </c>
      <c r="L488" s="133"/>
      <c r="M488" s="163">
        <v>288.8</v>
      </c>
      <c r="N488" s="38">
        <f>IF(CNC!C$14&gt;=L488,A488)</f>
        <v>487</v>
      </c>
      <c r="O488" s="25" t="b">
        <f>IF(CNC!C$15=I488,A488)</f>
        <v>0</v>
      </c>
      <c r="P488" s="25">
        <f>IF(CNC!C$16&lt;=J488,A488)</f>
        <v>487</v>
      </c>
      <c r="Q488" s="25" t="b">
        <f>IF(D488=CNC!AR$10,A488)</f>
        <v>0</v>
      </c>
      <c r="R488" s="25" t="b">
        <f t="shared" si="17"/>
        <v>0</v>
      </c>
    </row>
  </sheetData>
  <sheetProtection password="CDC6"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CNC</vt:lpstr>
      <vt:lpstr>INFO</vt:lpstr>
      <vt:lpstr>TOOLS</vt:lpstr>
      <vt:lpstr>CNC!Utskriftsområde</vt:lpstr>
      <vt:lpstr>INFO!Utskriftsområde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 Schmidt</dc:creator>
  <cp:lastModifiedBy>Oliver Schmidt</cp:lastModifiedBy>
  <cp:lastPrinted>2021-09-06T13:50:58Z</cp:lastPrinted>
  <dcterms:created xsi:type="dcterms:W3CDTF">2007-04-10T09:31:00Z</dcterms:created>
  <dcterms:modified xsi:type="dcterms:W3CDTF">2022-02-18T10:39:16Z</dcterms:modified>
</cp:coreProperties>
</file>